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170" windowHeight="7665" firstSheet="1" activeTab="1"/>
  </bookViews>
  <sheets>
    <sheet name="Kangatang" sheetId="3" state="veryHidden" r:id="rId1"/>
    <sheet name="Phụ luc" sheetId="12" r:id="rId2"/>
  </sheets>
  <externalReferences>
    <externalReference r:id="rId3"/>
  </externalReferences>
  <definedNames>
    <definedName name="_xlnm.Print_Titles" localSheetId="1">'Phụ luc'!$5:$9</definedName>
  </definedNames>
  <calcPr calcId="144525"/>
</workbook>
</file>

<file path=xl/calcChain.xml><?xml version="1.0" encoding="utf-8"?>
<calcChain xmlns="http://schemas.openxmlformats.org/spreadsheetml/2006/main">
  <c r="P249" i="12" l="1"/>
  <c r="L249" i="12"/>
  <c r="V267" i="12"/>
  <c r="U267" i="12"/>
  <c r="P267" i="12"/>
  <c r="L267" i="12"/>
  <c r="AC64" i="12"/>
  <c r="AB64" i="12"/>
  <c r="Z64" i="12"/>
  <c r="Y64" i="12"/>
  <c r="X64" i="12"/>
  <c r="V64" i="12"/>
  <c r="U64" i="12"/>
  <c r="T64" i="12"/>
  <c r="Q64" i="12"/>
  <c r="P64" i="12"/>
  <c r="O64" i="12"/>
  <c r="N64" i="12"/>
  <c r="M64" i="12"/>
  <c r="L64" i="12"/>
  <c r="K64" i="12"/>
  <c r="J64" i="12"/>
  <c r="I64" i="12"/>
  <c r="H64" i="12"/>
  <c r="F64" i="12"/>
  <c r="E64" i="12"/>
  <c r="D64" i="12"/>
  <c r="C64" i="12"/>
  <c r="R277" i="12" l="1"/>
  <c r="AJ293" i="12" l="1"/>
  <c r="AH293" i="12"/>
  <c r="AG293" i="12"/>
  <c r="AF293" i="12"/>
  <c r="AE293" i="12"/>
  <c r="AC293" i="12"/>
  <c r="AB293" i="12"/>
  <c r="Z293" i="12"/>
  <c r="Y293" i="12"/>
  <c r="X293" i="12"/>
  <c r="T293" i="12"/>
  <c r="S293" i="12"/>
  <c r="O293" i="12"/>
  <c r="N293" i="12"/>
  <c r="M293" i="12"/>
  <c r="K293" i="12"/>
  <c r="J293" i="12"/>
  <c r="I293" i="12"/>
  <c r="H293" i="12"/>
  <c r="F293" i="12"/>
  <c r="E293" i="12"/>
  <c r="D293" i="12"/>
  <c r="C293" i="12"/>
  <c r="AJ291" i="12"/>
  <c r="AH291" i="12"/>
  <c r="AG291" i="12"/>
  <c r="AF291" i="12"/>
  <c r="AE291" i="12"/>
  <c r="AC291" i="12"/>
  <c r="AB291" i="12"/>
  <c r="Z291" i="12"/>
  <c r="Y291" i="12"/>
  <c r="X291" i="12"/>
  <c r="T291" i="12"/>
  <c r="S291" i="12"/>
  <c r="O291" i="12"/>
  <c r="N291" i="12"/>
  <c r="M291" i="12"/>
  <c r="K291" i="12"/>
  <c r="J291" i="12"/>
  <c r="I291" i="12"/>
  <c r="H291" i="12"/>
  <c r="F291" i="12"/>
  <c r="E291" i="12"/>
  <c r="D291" i="12"/>
  <c r="C291" i="12"/>
  <c r="AJ99" i="12" l="1"/>
  <c r="AI99" i="12"/>
  <c r="AH99" i="12"/>
  <c r="AG99" i="12"/>
  <c r="AF99" i="12"/>
  <c r="AE99" i="12"/>
  <c r="Z99" i="12"/>
  <c r="Y99" i="12"/>
  <c r="X99" i="12"/>
  <c r="S99" i="12"/>
  <c r="O99" i="12"/>
  <c r="N99" i="12"/>
  <c r="M99" i="12"/>
  <c r="K99" i="12"/>
  <c r="J99" i="12"/>
  <c r="I99" i="12"/>
  <c r="H99" i="12"/>
  <c r="F99" i="12"/>
  <c r="E99" i="12"/>
  <c r="D99" i="12"/>
  <c r="C99" i="12"/>
  <c r="AA279" i="12"/>
  <c r="AJ276" i="12"/>
  <c r="AH276" i="12"/>
  <c r="AG276" i="12"/>
  <c r="AF276" i="12"/>
  <c r="AE276" i="12"/>
  <c r="AB276" i="12"/>
  <c r="Z276" i="12"/>
  <c r="X276" i="12"/>
  <c r="T276" i="12"/>
  <c r="O276" i="12"/>
  <c r="N276" i="12"/>
  <c r="M276" i="12"/>
  <c r="K276" i="12"/>
  <c r="J276" i="12"/>
  <c r="I276" i="12"/>
  <c r="H276" i="12"/>
  <c r="F276" i="12"/>
  <c r="E276" i="12"/>
  <c r="D276" i="12"/>
  <c r="C276" i="12"/>
  <c r="AJ85" i="12"/>
  <c r="AI85" i="12"/>
  <c r="AH85" i="12"/>
  <c r="AG85" i="12"/>
  <c r="AF85" i="12"/>
  <c r="AE85" i="12"/>
  <c r="Z85" i="12"/>
  <c r="Y85" i="12"/>
  <c r="X85" i="12"/>
  <c r="T85" i="12"/>
  <c r="O85" i="12"/>
  <c r="N85" i="12"/>
  <c r="M85" i="12"/>
  <c r="K85" i="12"/>
  <c r="J85" i="12"/>
  <c r="I85" i="12"/>
  <c r="H85" i="12"/>
  <c r="F85" i="12"/>
  <c r="E85" i="12"/>
  <c r="D85" i="12"/>
  <c r="C85" i="12"/>
  <c r="AJ271" i="12"/>
  <c r="AH271" i="12"/>
  <c r="AG271" i="12"/>
  <c r="AF271" i="12"/>
  <c r="AE271" i="12"/>
  <c r="AC271" i="12"/>
  <c r="AB271" i="12"/>
  <c r="Z271" i="12"/>
  <c r="Y271" i="12"/>
  <c r="X271" i="12"/>
  <c r="T271" i="12"/>
  <c r="S271" i="12"/>
  <c r="O271" i="12"/>
  <c r="N271" i="12"/>
  <c r="M271" i="12"/>
  <c r="K271" i="12"/>
  <c r="J271" i="12"/>
  <c r="I271" i="12"/>
  <c r="H271" i="12"/>
  <c r="F271" i="12"/>
  <c r="E271" i="12"/>
  <c r="D271" i="12"/>
  <c r="C271" i="12"/>
  <c r="AJ64" i="12" l="1"/>
  <c r="AH64" i="12"/>
  <c r="AG64" i="12"/>
  <c r="AF64" i="12"/>
  <c r="AE64" i="12"/>
  <c r="R257" i="12" l="1"/>
  <c r="X231" i="12" l="1"/>
  <c r="X223" i="12"/>
  <c r="X220" i="12"/>
  <c r="X216" i="12"/>
  <c r="X210" i="12"/>
  <c r="X206" i="12"/>
  <c r="X184" i="12"/>
  <c r="X176" i="12"/>
  <c r="X172" i="12"/>
  <c r="X150" i="12"/>
  <c r="X130" i="12"/>
  <c r="X120" i="12"/>
  <c r="X116" i="12"/>
  <c r="X111" i="12"/>
  <c r="X103" i="12"/>
  <c r="X94" i="12"/>
  <c r="X80" i="12"/>
  <c r="X77" i="12"/>
  <c r="X71" i="12"/>
  <c r="X60" i="12"/>
  <c r="X55" i="12"/>
  <c r="X51" i="12"/>
  <c r="X45" i="12"/>
  <c r="X38" i="12"/>
  <c r="X30" i="12"/>
  <c r="W335" i="12"/>
  <c r="W334" i="12"/>
  <c r="W332" i="12"/>
  <c r="W331" i="12"/>
  <c r="W330" i="12"/>
  <c r="W329" i="12"/>
  <c r="W328" i="12"/>
  <c r="W325" i="12"/>
  <c r="W323" i="12"/>
  <c r="W322" i="12"/>
  <c r="W321" i="12"/>
  <c r="W320" i="12"/>
  <c r="W316" i="12"/>
  <c r="W315" i="12"/>
  <c r="W314" i="12"/>
  <c r="W313" i="12"/>
  <c r="W312" i="12"/>
  <c r="W311" i="12"/>
  <c r="W310" i="12"/>
  <c r="W309" i="12"/>
  <c r="W308" i="12"/>
  <c r="W307" i="12"/>
  <c r="W304" i="12"/>
  <c r="W303" i="12"/>
  <c r="W302" i="12"/>
  <c r="W301" i="12"/>
  <c r="W294" i="12"/>
  <c r="W293" i="12" s="1"/>
  <c r="W292" i="12"/>
  <c r="W291" i="12" s="1"/>
  <c r="W286" i="12"/>
  <c r="W284" i="12"/>
  <c r="W283" i="12"/>
  <c r="W282" i="12"/>
  <c r="W277" i="12"/>
  <c r="W273" i="12"/>
  <c r="W272" i="12"/>
  <c r="W269" i="12"/>
  <c r="W266" i="12"/>
  <c r="W265" i="12"/>
  <c r="W262" i="12"/>
  <c r="W261" i="12"/>
  <c r="W260" i="12"/>
  <c r="W259" i="12"/>
  <c r="W254" i="12"/>
  <c r="W247" i="12"/>
  <c r="W246" i="12"/>
  <c r="W245" i="12"/>
  <c r="W243" i="12"/>
  <c r="W242" i="12"/>
  <c r="W240" i="12"/>
  <c r="W239" i="12"/>
  <c r="W238" i="12"/>
  <c r="W237" i="12"/>
  <c r="W236" i="12"/>
  <c r="W233" i="12"/>
  <c r="W232" i="12"/>
  <c r="W230" i="12"/>
  <c r="W229" i="12"/>
  <c r="W228" i="12"/>
  <c r="W227" i="12"/>
  <c r="W226" i="12"/>
  <c r="W225" i="12"/>
  <c r="W224" i="12"/>
  <c r="W222" i="12"/>
  <c r="W221" i="12"/>
  <c r="W218" i="12"/>
  <c r="W217" i="12"/>
  <c r="W215" i="12"/>
  <c r="W214" i="12"/>
  <c r="W213" i="12"/>
  <c r="W212" i="12"/>
  <c r="W211" i="12"/>
  <c r="W209" i="12"/>
  <c r="W208" i="12"/>
  <c r="W207" i="12"/>
  <c r="W204" i="12"/>
  <c r="W201" i="12"/>
  <c r="W199" i="12"/>
  <c r="W198" i="12"/>
  <c r="W197" i="12"/>
  <c r="W196" i="12"/>
  <c r="W195" i="12"/>
  <c r="W194" i="12"/>
  <c r="W193" i="12"/>
  <c r="W192" i="12"/>
  <c r="W191" i="12"/>
  <c r="W190" i="12"/>
  <c r="W189" i="12"/>
  <c r="W188" i="12"/>
  <c r="W187" i="12"/>
  <c r="W186" i="12"/>
  <c r="W185" i="12"/>
  <c r="W183" i="12"/>
  <c r="W182" i="12"/>
  <c r="W181" i="12"/>
  <c r="W180" i="12"/>
  <c r="W179" i="12"/>
  <c r="W178" i="12"/>
  <c r="W177" i="12"/>
  <c r="W174" i="12"/>
  <c r="W171" i="12"/>
  <c r="W170" i="12"/>
  <c r="W169" i="12"/>
  <c r="W168" i="12"/>
  <c r="W167" i="12"/>
  <c r="W166" i="12"/>
  <c r="W165" i="12"/>
  <c r="W164" i="12"/>
  <c r="W163" i="12"/>
  <c r="W162" i="12"/>
  <c r="W161" i="12"/>
  <c r="W160" i="12"/>
  <c r="W159" i="12"/>
  <c r="W158" i="12"/>
  <c r="W157" i="12"/>
  <c r="W156" i="12"/>
  <c r="W155" i="12"/>
  <c r="W154" i="12"/>
  <c r="W153" i="12"/>
  <c r="W152" i="12"/>
  <c r="W151" i="12"/>
  <c r="W149" i="12"/>
  <c r="W148" i="12"/>
  <c r="W147" i="12"/>
  <c r="W146" i="12"/>
  <c r="W145" i="12"/>
  <c r="W144" i="12"/>
  <c r="W143" i="12"/>
  <c r="W142" i="12"/>
  <c r="W141" i="12"/>
  <c r="W140" i="12"/>
  <c r="W139" i="12"/>
  <c r="W138" i="12"/>
  <c r="W137" i="12"/>
  <c r="W136" i="12"/>
  <c r="W135" i="12"/>
  <c r="W134" i="12"/>
  <c r="W133" i="12"/>
  <c r="W132" i="12"/>
  <c r="W131" i="12"/>
  <c r="W126" i="12"/>
  <c r="W125" i="12"/>
  <c r="W124" i="12"/>
  <c r="W123" i="12"/>
  <c r="W122" i="12"/>
  <c r="W121" i="12"/>
  <c r="W119" i="12"/>
  <c r="W118" i="12"/>
  <c r="W117" i="12"/>
  <c r="W114" i="12"/>
  <c r="W113" i="12"/>
  <c r="W112" i="12"/>
  <c r="W110" i="12"/>
  <c r="W109" i="12"/>
  <c r="W108" i="12"/>
  <c r="W107" i="12"/>
  <c r="W106" i="12"/>
  <c r="W105" i="12"/>
  <c r="W104" i="12"/>
  <c r="W102" i="12"/>
  <c r="W279" i="12"/>
  <c r="W101" i="12"/>
  <c r="W100" i="12"/>
  <c r="W97" i="12"/>
  <c r="W96" i="12"/>
  <c r="W95" i="12"/>
  <c r="W274" i="12"/>
  <c r="W93" i="12"/>
  <c r="W92" i="12"/>
  <c r="W91" i="12"/>
  <c r="W90" i="12"/>
  <c r="W89" i="12"/>
  <c r="W88" i="12"/>
  <c r="W87" i="12"/>
  <c r="W86" i="12"/>
  <c r="W84" i="12"/>
  <c r="W83" i="12"/>
  <c r="W82" i="12"/>
  <c r="W81" i="12"/>
  <c r="W78" i="12"/>
  <c r="W76" i="12"/>
  <c r="W75" i="12"/>
  <c r="W74" i="12"/>
  <c r="W73" i="12"/>
  <c r="W72" i="12"/>
  <c r="W70" i="12"/>
  <c r="W69" i="12"/>
  <c r="W68" i="12"/>
  <c r="W67" i="12"/>
  <c r="W66" i="12"/>
  <c r="W65" i="12"/>
  <c r="W62" i="12"/>
  <c r="W61" i="12"/>
  <c r="W59" i="12"/>
  <c r="W58" i="12"/>
  <c r="W57" i="12"/>
  <c r="W56" i="12"/>
  <c r="W54" i="12"/>
  <c r="W53" i="12"/>
  <c r="W52" i="12"/>
  <c r="W49" i="12"/>
  <c r="W48" i="12"/>
  <c r="W47" i="12"/>
  <c r="W46" i="12"/>
  <c r="W44" i="12"/>
  <c r="W43" i="12"/>
  <c r="W42" i="12"/>
  <c r="W41" i="12"/>
  <c r="W40" i="12"/>
  <c r="W39" i="12"/>
  <c r="W37" i="12"/>
  <c r="W36" i="12"/>
  <c r="W35" i="12"/>
  <c r="W34" i="12"/>
  <c r="W33" i="12"/>
  <c r="W32" i="12"/>
  <c r="AJ216" i="12"/>
  <c r="AH216" i="12"/>
  <c r="AG216" i="12"/>
  <c r="AF216" i="12"/>
  <c r="AE216" i="12"/>
  <c r="AB216" i="12"/>
  <c r="Z216" i="12"/>
  <c r="Y216" i="12"/>
  <c r="T216" i="12"/>
  <c r="O216" i="12"/>
  <c r="N216" i="12"/>
  <c r="M216" i="12"/>
  <c r="K216" i="12"/>
  <c r="J216" i="12"/>
  <c r="I216" i="12"/>
  <c r="H216" i="12"/>
  <c r="F216" i="12"/>
  <c r="E216" i="12"/>
  <c r="D216" i="12"/>
  <c r="C216" i="12"/>
  <c r="W64" i="12" l="1"/>
  <c r="W99" i="12"/>
  <c r="W271" i="12"/>
  <c r="W85" i="12"/>
  <c r="X29" i="12"/>
  <c r="AJ333" i="12"/>
  <c r="AH333" i="12"/>
  <c r="AG333" i="12"/>
  <c r="AF333" i="12"/>
  <c r="AE333" i="12"/>
  <c r="AC333" i="12"/>
  <c r="AB333" i="12"/>
  <c r="Z333" i="12"/>
  <c r="Y333" i="12"/>
  <c r="X333" i="12"/>
  <c r="T333" i="12"/>
  <c r="S333" i="12"/>
  <c r="O333" i="12"/>
  <c r="N333" i="12"/>
  <c r="M333" i="12"/>
  <c r="K333" i="12"/>
  <c r="J333" i="12"/>
  <c r="I333" i="12"/>
  <c r="H333" i="12"/>
  <c r="F333" i="12"/>
  <c r="E333" i="12"/>
  <c r="D333" i="12"/>
  <c r="C333" i="12"/>
  <c r="AJ258" i="12"/>
  <c r="AH258" i="12"/>
  <c r="AG258" i="12"/>
  <c r="AF258" i="12"/>
  <c r="AE258" i="12"/>
  <c r="AC258" i="12"/>
  <c r="AB258" i="12"/>
  <c r="Z258" i="12"/>
  <c r="Y258" i="12"/>
  <c r="T258" i="12"/>
  <c r="S258" i="12"/>
  <c r="O258" i="12"/>
  <c r="N258" i="12"/>
  <c r="M258" i="12"/>
  <c r="K258" i="12"/>
  <c r="J258" i="12"/>
  <c r="I258" i="12"/>
  <c r="H258" i="12"/>
  <c r="F258" i="12"/>
  <c r="E258" i="12"/>
  <c r="D258" i="12"/>
  <c r="C258" i="12"/>
  <c r="AJ55" i="12"/>
  <c r="AH55" i="12"/>
  <c r="AG55" i="12"/>
  <c r="AF55" i="12"/>
  <c r="AE55" i="12"/>
  <c r="AC55" i="12"/>
  <c r="AB55" i="12"/>
  <c r="Z55" i="12"/>
  <c r="Y55" i="12"/>
  <c r="T55" i="12"/>
  <c r="O55" i="12"/>
  <c r="N55" i="12"/>
  <c r="M55" i="12"/>
  <c r="K55" i="12"/>
  <c r="J55" i="12"/>
  <c r="I55" i="12"/>
  <c r="H55" i="12"/>
  <c r="F55" i="12"/>
  <c r="E55" i="12"/>
  <c r="D55" i="12"/>
  <c r="C55" i="12"/>
  <c r="AJ296" i="12" l="1"/>
  <c r="AJ295" i="12" s="1"/>
  <c r="AH296" i="12"/>
  <c r="AH295" i="12" s="1"/>
  <c r="AG296" i="12"/>
  <c r="AG295" i="12" s="1"/>
  <c r="AF296" i="12"/>
  <c r="AF295" i="12" s="1"/>
  <c r="AE296" i="12"/>
  <c r="AE295" i="12" s="1"/>
  <c r="AC296" i="12"/>
  <c r="AC295" i="12" s="1"/>
  <c r="AB296" i="12"/>
  <c r="AB295" i="12" s="1"/>
  <c r="Z296" i="12"/>
  <c r="Z295" i="12" s="1"/>
  <c r="Y296" i="12"/>
  <c r="Y295" i="12" s="1"/>
  <c r="V296" i="12"/>
  <c r="U296" i="12"/>
  <c r="T296" i="12"/>
  <c r="T295" i="12" s="1"/>
  <c r="S296" i="12"/>
  <c r="S295" i="12" s="1"/>
  <c r="O296" i="12"/>
  <c r="O295" i="12" s="1"/>
  <c r="N296" i="12"/>
  <c r="N295" i="12" s="1"/>
  <c r="AI339" i="12"/>
  <c r="AD339" i="12" s="1"/>
  <c r="AI338" i="12"/>
  <c r="AI337" i="12"/>
  <c r="AD337" i="12" s="1"/>
  <c r="AH336" i="12"/>
  <c r="AJ336" i="12"/>
  <c r="AI335" i="12"/>
  <c r="AD335" i="12" s="1"/>
  <c r="AI334" i="12"/>
  <c r="AI332" i="12"/>
  <c r="AD332" i="12" s="1"/>
  <c r="AI331" i="12"/>
  <c r="AD331" i="12" s="1"/>
  <c r="AI330" i="12"/>
  <c r="AD330" i="12" s="1"/>
  <c r="AI329" i="12"/>
  <c r="AD329" i="12" s="1"/>
  <c r="AI328" i="12"/>
  <c r="AD328" i="12" s="1"/>
  <c r="AI325" i="12"/>
  <c r="AD325" i="12" s="1"/>
  <c r="AI323" i="12"/>
  <c r="AD323" i="12" s="1"/>
  <c r="AI322" i="12"/>
  <c r="AD322" i="12" s="1"/>
  <c r="AI321" i="12"/>
  <c r="AD321" i="12" s="1"/>
  <c r="AI320" i="12"/>
  <c r="AD320" i="12" s="1"/>
  <c r="AI319" i="12"/>
  <c r="AD319" i="12" s="1"/>
  <c r="AI316" i="12"/>
  <c r="AD316" i="12" s="1"/>
  <c r="AI315" i="12"/>
  <c r="AD315" i="12" s="1"/>
  <c r="AI314" i="12"/>
  <c r="AD314" i="12" s="1"/>
  <c r="AI312" i="12"/>
  <c r="AD312" i="12" s="1"/>
  <c r="AI310" i="12"/>
  <c r="AD310" i="12" s="1"/>
  <c r="AI308" i="12"/>
  <c r="AD308" i="12" s="1"/>
  <c r="AI305" i="12"/>
  <c r="AD305" i="12" s="1"/>
  <c r="AI304" i="12"/>
  <c r="AD304" i="12" s="1"/>
  <c r="AI303" i="12"/>
  <c r="AD303" i="12" s="1"/>
  <c r="AI302" i="12"/>
  <c r="AD302" i="12" s="1"/>
  <c r="AI301" i="12"/>
  <c r="AD301" i="12" s="1"/>
  <c r="AI298" i="12"/>
  <c r="AD298" i="12" s="1"/>
  <c r="AI297" i="12"/>
  <c r="AD297" i="12" s="1"/>
  <c r="AI294" i="12"/>
  <c r="AI292" i="12"/>
  <c r="AI290" i="12"/>
  <c r="AD290" i="12" s="1"/>
  <c r="AI289" i="12"/>
  <c r="AD289" i="12" s="1"/>
  <c r="AI286" i="12"/>
  <c r="AD286" i="12" s="1"/>
  <c r="AI284" i="12"/>
  <c r="AD284" i="12" s="1"/>
  <c r="AI283" i="12"/>
  <c r="AD283" i="12" s="1"/>
  <c r="AI282" i="12"/>
  <c r="AD282" i="12" s="1"/>
  <c r="AI281" i="12"/>
  <c r="AD281" i="12" s="1"/>
  <c r="AI278" i="12"/>
  <c r="AD278" i="12" s="1"/>
  <c r="AI277" i="12"/>
  <c r="AI273" i="12"/>
  <c r="AD273" i="12" s="1"/>
  <c r="AI272" i="12"/>
  <c r="AI269" i="12"/>
  <c r="AD269" i="12" s="1"/>
  <c r="AI266" i="12"/>
  <c r="AD266" i="12" s="1"/>
  <c r="AI265" i="12"/>
  <c r="AD265" i="12" s="1"/>
  <c r="AI263" i="12"/>
  <c r="AD263" i="12" s="1"/>
  <c r="AI262" i="12"/>
  <c r="AD262" i="12" s="1"/>
  <c r="AI261" i="12"/>
  <c r="AD261" i="12" s="1"/>
  <c r="AI260" i="12"/>
  <c r="AD260" i="12" s="1"/>
  <c r="AI259" i="12"/>
  <c r="AD59" i="12"/>
  <c r="AI257" i="12"/>
  <c r="AD257" i="12" s="1"/>
  <c r="AH94" i="12"/>
  <c r="AJ94" i="12"/>
  <c r="AH77" i="12"/>
  <c r="AI77" i="12"/>
  <c r="AJ77" i="12"/>
  <c r="AJ30" i="12"/>
  <c r="AI30" i="12"/>
  <c r="AH176" i="12"/>
  <c r="AI176" i="12"/>
  <c r="AJ176" i="12"/>
  <c r="AH200" i="12"/>
  <c r="AI200" i="12"/>
  <c r="AJ200" i="12"/>
  <c r="AH184" i="12"/>
  <c r="AI184" i="12"/>
  <c r="AJ184" i="12"/>
  <c r="U295" i="12" l="1"/>
  <c r="U249" i="12"/>
  <c r="V295" i="12"/>
  <c r="V249" i="12"/>
  <c r="AD294" i="12"/>
  <c r="AD293" i="12" s="1"/>
  <c r="AI293" i="12"/>
  <c r="AD292" i="12"/>
  <c r="AD291" i="12" s="1"/>
  <c r="AI291" i="12"/>
  <c r="AD277" i="12"/>
  <c r="AI276" i="12"/>
  <c r="AD272" i="12"/>
  <c r="AI271" i="12"/>
  <c r="AD218" i="12"/>
  <c r="AI216" i="12"/>
  <c r="AI336" i="12"/>
  <c r="AJ175" i="12"/>
  <c r="AD334" i="12"/>
  <c r="AD333" i="12" s="1"/>
  <c r="AI333" i="12"/>
  <c r="AI175" i="12"/>
  <c r="AD259" i="12"/>
  <c r="AD258" i="12" s="1"/>
  <c r="AI258" i="12"/>
  <c r="AD296" i="12"/>
  <c r="AD295" i="12" s="1"/>
  <c r="AH175" i="12"/>
  <c r="AI296" i="12"/>
  <c r="AI295" i="12" s="1"/>
  <c r="AD338" i="12"/>
  <c r="X257" i="12"/>
  <c r="W257" i="12" s="1"/>
  <c r="AD247" i="12" l="1"/>
  <c r="AD246" i="12"/>
  <c r="AD245" i="12"/>
  <c r="AD244" i="12"/>
  <c r="AD243" i="12"/>
  <c r="AD242" i="12"/>
  <c r="AD240" i="12"/>
  <c r="AD239" i="12"/>
  <c r="AD238" i="12"/>
  <c r="AD237" i="12"/>
  <c r="AD236" i="12"/>
  <c r="AD233" i="12"/>
  <c r="AD232" i="12"/>
  <c r="AD230" i="12"/>
  <c r="AD229" i="12"/>
  <c r="AD228" i="12"/>
  <c r="AD227" i="12"/>
  <c r="AD226" i="12"/>
  <c r="AD225" i="12"/>
  <c r="AD224" i="12"/>
  <c r="AD222" i="12"/>
  <c r="AD221" i="12"/>
  <c r="AD217" i="12"/>
  <c r="AD216" i="12" s="1"/>
  <c r="AD215" i="12"/>
  <c r="AD214" i="12"/>
  <c r="AD213" i="12"/>
  <c r="AD212" i="12"/>
  <c r="AD211" i="12"/>
  <c r="AA215" i="12"/>
  <c r="AA214" i="12"/>
  <c r="AA213" i="12"/>
  <c r="AA212" i="12"/>
  <c r="AA211" i="12"/>
  <c r="AD209" i="12"/>
  <c r="AD208" i="12"/>
  <c r="AD207" i="12"/>
  <c r="AD204" i="12"/>
  <c r="AD201" i="12"/>
  <c r="S201" i="12"/>
  <c r="S190" i="12"/>
  <c r="AD199" i="12"/>
  <c r="AD198" i="12"/>
  <c r="AD197" i="12"/>
  <c r="AD196" i="12"/>
  <c r="AD195" i="12"/>
  <c r="AD194" i="12"/>
  <c r="AD193" i="12"/>
  <c r="AD192" i="12"/>
  <c r="AD191" i="12"/>
  <c r="AD190" i="12"/>
  <c r="AD189" i="12"/>
  <c r="AD188" i="12"/>
  <c r="AD187" i="12"/>
  <c r="AD186" i="12"/>
  <c r="AD185" i="12"/>
  <c r="T180" i="12"/>
  <c r="R177" i="12"/>
  <c r="AA182" i="12" l="1"/>
  <c r="AA181" i="12"/>
  <c r="AA180" i="12"/>
  <c r="AA177" i="12"/>
  <c r="AD183" i="12"/>
  <c r="AD182" i="12"/>
  <c r="AD181" i="12"/>
  <c r="AD180" i="12"/>
  <c r="AD179" i="12"/>
  <c r="AD178" i="12"/>
  <c r="AD177" i="12"/>
  <c r="Z172" i="12"/>
  <c r="AD174" i="12"/>
  <c r="AB174" i="12" s="1"/>
  <c r="AD173" i="12"/>
  <c r="AB173" i="12" s="1"/>
  <c r="AJ172" i="12"/>
  <c r="AI172" i="12"/>
  <c r="AH172" i="12"/>
  <c r="AG172" i="12"/>
  <c r="AF172" i="12"/>
  <c r="AE172" i="12"/>
  <c r="AD171" i="12"/>
  <c r="AD170" i="12"/>
  <c r="AD169" i="12"/>
  <c r="AD168" i="12"/>
  <c r="AD167" i="12"/>
  <c r="AD166" i="12"/>
  <c r="AD165" i="12"/>
  <c r="AD164" i="12"/>
  <c r="AD163" i="12"/>
  <c r="AD162" i="12"/>
  <c r="AD161" i="12"/>
  <c r="AD160" i="12"/>
  <c r="AD159" i="12"/>
  <c r="AD158" i="12"/>
  <c r="AD157" i="12"/>
  <c r="AD156" i="12"/>
  <c r="AD155" i="12"/>
  <c r="AD154" i="12"/>
  <c r="AD153" i="12"/>
  <c r="AD152" i="12"/>
  <c r="AD151" i="12"/>
  <c r="AD149" i="12"/>
  <c r="AD148" i="12"/>
  <c r="AD147" i="12"/>
  <c r="AD146" i="12"/>
  <c r="AD145" i="12"/>
  <c r="AD144" i="12"/>
  <c r="AD143" i="12"/>
  <c r="AD142" i="12"/>
  <c r="AD141" i="12"/>
  <c r="AD140" i="12"/>
  <c r="AD139" i="12"/>
  <c r="AD138" i="12"/>
  <c r="AD137" i="12"/>
  <c r="AD136" i="12"/>
  <c r="AD135" i="12"/>
  <c r="AD134" i="12"/>
  <c r="AD133" i="12"/>
  <c r="AD132" i="12"/>
  <c r="AD131" i="12"/>
  <c r="AD128" i="12"/>
  <c r="AD126" i="12"/>
  <c r="AD125" i="12"/>
  <c r="AD124" i="12"/>
  <c r="AD123" i="12"/>
  <c r="AD122" i="12"/>
  <c r="AD121" i="12"/>
  <c r="AA126" i="12"/>
  <c r="AA125" i="12"/>
  <c r="AA124" i="12"/>
  <c r="AA123" i="12"/>
  <c r="AA122" i="12"/>
  <c r="AA121" i="12"/>
  <c r="AD119" i="12"/>
  <c r="AD118" i="12"/>
  <c r="AD117" i="12"/>
  <c r="AA119" i="12"/>
  <c r="AA118" i="12"/>
  <c r="AA117" i="12"/>
  <c r="AA114" i="12"/>
  <c r="AA113" i="12"/>
  <c r="AA112" i="12"/>
  <c r="AD114" i="12"/>
  <c r="AD113" i="12"/>
  <c r="AD112" i="12"/>
  <c r="AD110" i="12"/>
  <c r="AD109" i="12"/>
  <c r="AD108" i="12"/>
  <c r="AD107" i="12"/>
  <c r="AD106" i="12"/>
  <c r="AD105" i="12"/>
  <c r="AD104" i="12"/>
  <c r="AA110" i="12"/>
  <c r="AA109" i="12"/>
  <c r="AA108" i="12"/>
  <c r="AA107" i="12"/>
  <c r="AA106" i="12"/>
  <c r="AA105" i="12"/>
  <c r="AA104" i="12"/>
  <c r="AD102" i="12"/>
  <c r="AD279" i="12"/>
  <c r="AD276" i="12" s="1"/>
  <c r="AD101" i="12"/>
  <c r="AD100" i="12"/>
  <c r="AD97" i="12"/>
  <c r="AD95" i="12"/>
  <c r="AI96" i="12"/>
  <c r="AI94" i="12" s="1"/>
  <c r="AA97" i="12"/>
  <c r="AA96" i="12"/>
  <c r="AA95" i="12"/>
  <c r="AD274" i="12"/>
  <c r="AD271" i="12" s="1"/>
  <c r="AD93" i="12"/>
  <c r="AD92" i="12"/>
  <c r="AD91" i="12"/>
  <c r="AD90" i="12"/>
  <c r="AD89" i="12"/>
  <c r="AD88" i="12"/>
  <c r="AD87" i="12"/>
  <c r="AD86" i="12"/>
  <c r="AA92" i="12"/>
  <c r="AA91" i="12"/>
  <c r="AA90" i="12"/>
  <c r="AA89" i="12"/>
  <c r="AA88" i="12"/>
  <c r="AA87" i="12"/>
  <c r="AA86" i="12"/>
  <c r="AD84" i="12"/>
  <c r="AD83" i="12"/>
  <c r="AD82" i="12"/>
  <c r="AD81" i="12"/>
  <c r="AA84" i="12"/>
  <c r="AA83" i="12"/>
  <c r="AA82" i="12"/>
  <c r="AA81" i="12"/>
  <c r="AD78" i="12"/>
  <c r="AA78" i="12"/>
  <c r="AD76" i="12"/>
  <c r="AD75" i="12"/>
  <c r="AD74" i="12"/>
  <c r="AD73" i="12"/>
  <c r="AD72" i="12"/>
  <c r="AA76" i="12"/>
  <c r="AA75" i="12"/>
  <c r="AA74" i="12"/>
  <c r="AA73" i="12"/>
  <c r="AA72" i="12"/>
  <c r="AD69" i="12"/>
  <c r="AD68" i="12"/>
  <c r="AD67" i="12"/>
  <c r="AD65" i="12"/>
  <c r="AI66" i="12"/>
  <c r="AI64" i="12" s="1"/>
  <c r="AA69" i="12"/>
  <c r="AA68" i="12"/>
  <c r="AA67" i="12"/>
  <c r="AA66" i="12"/>
  <c r="AA65" i="12"/>
  <c r="AD62" i="12"/>
  <c r="AD61" i="12"/>
  <c r="AA62" i="12"/>
  <c r="AA61" i="12"/>
  <c r="AD57" i="12"/>
  <c r="AD56" i="12"/>
  <c r="AI58" i="12"/>
  <c r="AI55" i="12" s="1"/>
  <c r="AA58" i="12"/>
  <c r="AA57" i="12"/>
  <c r="AA56" i="12"/>
  <c r="AA54" i="12"/>
  <c r="AA53" i="12"/>
  <c r="AA52" i="12"/>
  <c r="AD54" i="12"/>
  <c r="AD53" i="12"/>
  <c r="AD52" i="12"/>
  <c r="AE51" i="12"/>
  <c r="AF51" i="12"/>
  <c r="AG51" i="12"/>
  <c r="AH51" i="12"/>
  <c r="AI51" i="12"/>
  <c r="AJ51" i="12"/>
  <c r="AD99" i="12" l="1"/>
  <c r="AD85" i="12"/>
  <c r="Y172" i="12"/>
  <c r="W173" i="12"/>
  <c r="AD58" i="12"/>
  <c r="AD55" i="12" s="1"/>
  <c r="AD66" i="12"/>
  <c r="AD64" i="12" s="1"/>
  <c r="AD96" i="12"/>
  <c r="AD51" i="12"/>
  <c r="D327" i="12"/>
  <c r="E327" i="12"/>
  <c r="F327" i="12"/>
  <c r="H327" i="12"/>
  <c r="I327" i="12"/>
  <c r="J327" i="12"/>
  <c r="K327" i="12"/>
  <c r="M327" i="12"/>
  <c r="N327" i="12"/>
  <c r="O327" i="12"/>
  <c r="Q327" i="12"/>
  <c r="S327" i="12"/>
  <c r="T327" i="12"/>
  <c r="X327" i="12"/>
  <c r="Y327" i="12"/>
  <c r="Z327" i="12"/>
  <c r="AE327" i="12"/>
  <c r="AF327" i="12"/>
  <c r="AG327" i="12"/>
  <c r="AH327" i="12"/>
  <c r="AI327" i="12"/>
  <c r="AJ327" i="12"/>
  <c r="C327" i="12"/>
  <c r="D318" i="12"/>
  <c r="E318" i="12"/>
  <c r="F318" i="12"/>
  <c r="H318" i="12"/>
  <c r="I318" i="12"/>
  <c r="J318" i="12"/>
  <c r="K318" i="12"/>
  <c r="M318" i="12"/>
  <c r="N318" i="12"/>
  <c r="O318" i="12"/>
  <c r="Q318" i="12"/>
  <c r="T318" i="12"/>
  <c r="X318" i="12"/>
  <c r="Z318" i="12"/>
  <c r="AD318" i="12"/>
  <c r="AE318" i="12"/>
  <c r="AF318" i="12"/>
  <c r="AG318" i="12"/>
  <c r="AH318" i="12"/>
  <c r="AI318" i="12"/>
  <c r="AJ318" i="12"/>
  <c r="C318" i="12"/>
  <c r="AJ306" i="12"/>
  <c r="AH306" i="12"/>
  <c r="AG306" i="12"/>
  <c r="AF306" i="12"/>
  <c r="AE306" i="12"/>
  <c r="Z306" i="12"/>
  <c r="Y306" i="12"/>
  <c r="X306" i="12"/>
  <c r="T306" i="12"/>
  <c r="Q306" i="12"/>
  <c r="O306" i="12"/>
  <c r="N306" i="12"/>
  <c r="M306" i="12"/>
  <c r="K306" i="12"/>
  <c r="J306" i="12"/>
  <c r="I306" i="12"/>
  <c r="H306" i="12"/>
  <c r="F306" i="12"/>
  <c r="E306" i="12"/>
  <c r="D306" i="12"/>
  <c r="C306" i="12"/>
  <c r="L16" i="12"/>
  <c r="U16" i="12"/>
  <c r="V16" i="12"/>
  <c r="L18" i="12"/>
  <c r="Q18" i="12"/>
  <c r="U18" i="12"/>
  <c r="V18" i="12"/>
  <c r="L19" i="12"/>
  <c r="C20" i="12"/>
  <c r="C26" i="12"/>
  <c r="C30" i="12"/>
  <c r="D206" i="12" l="1"/>
  <c r="E206" i="12"/>
  <c r="F206" i="12"/>
  <c r="H206" i="12"/>
  <c r="I206" i="12"/>
  <c r="J206" i="12"/>
  <c r="K206" i="12"/>
  <c r="M206" i="12"/>
  <c r="N206" i="12"/>
  <c r="O206" i="12"/>
  <c r="T206" i="12"/>
  <c r="Y206" i="12"/>
  <c r="Z206" i="12"/>
  <c r="AE206" i="12"/>
  <c r="AF206" i="12"/>
  <c r="AG206" i="12"/>
  <c r="AH206" i="12"/>
  <c r="AI206" i="12"/>
  <c r="AJ206" i="12"/>
  <c r="D172" i="12"/>
  <c r="E172" i="12"/>
  <c r="F172" i="12"/>
  <c r="H172" i="12"/>
  <c r="I172" i="12"/>
  <c r="J172" i="12"/>
  <c r="K172" i="12"/>
  <c r="M172" i="12"/>
  <c r="N172" i="12"/>
  <c r="O172" i="12"/>
  <c r="S172" i="12"/>
  <c r="C172" i="12"/>
  <c r="C19" i="12"/>
  <c r="X263" i="12" l="1"/>
  <c r="X258" i="12" l="1"/>
  <c r="W263" i="12"/>
  <c r="D235" i="12"/>
  <c r="E235" i="12"/>
  <c r="F235" i="12"/>
  <c r="H235" i="12"/>
  <c r="I235" i="12"/>
  <c r="J235" i="12"/>
  <c r="K235" i="12"/>
  <c r="L234" i="12"/>
  <c r="M235" i="12"/>
  <c r="N235" i="12"/>
  <c r="O235" i="12"/>
  <c r="Q235" i="12"/>
  <c r="S235" i="12"/>
  <c r="T235" i="12"/>
  <c r="X235" i="12"/>
  <c r="Y235" i="12"/>
  <c r="Z235" i="12"/>
  <c r="AE235" i="12"/>
  <c r="AF235" i="12"/>
  <c r="AG235" i="12"/>
  <c r="AH235" i="12"/>
  <c r="AI235" i="12"/>
  <c r="AJ235" i="12"/>
  <c r="D241" i="12"/>
  <c r="E241" i="12"/>
  <c r="F241" i="12"/>
  <c r="H241" i="12"/>
  <c r="I241" i="12"/>
  <c r="J241" i="12"/>
  <c r="K241" i="12"/>
  <c r="M241" i="12"/>
  <c r="N241" i="12"/>
  <c r="O241" i="12"/>
  <c r="Q241" i="12"/>
  <c r="S241" i="12"/>
  <c r="T241" i="12"/>
  <c r="Z241" i="12"/>
  <c r="AE241" i="12"/>
  <c r="AF241" i="12"/>
  <c r="AG241" i="12"/>
  <c r="AH241" i="12"/>
  <c r="AI241" i="12"/>
  <c r="AJ241" i="12"/>
  <c r="C241" i="12"/>
  <c r="AC246" i="12"/>
  <c r="R246" i="12"/>
  <c r="G246" i="12"/>
  <c r="R247" i="12"/>
  <c r="C235" i="12"/>
  <c r="D220" i="12"/>
  <c r="E220" i="12"/>
  <c r="F220" i="12"/>
  <c r="H220" i="12"/>
  <c r="I220" i="12"/>
  <c r="J220" i="12"/>
  <c r="K220" i="12"/>
  <c r="M220" i="12"/>
  <c r="N220" i="12"/>
  <c r="O220" i="12"/>
  <c r="Q220" i="12"/>
  <c r="S220" i="12"/>
  <c r="Y220" i="12"/>
  <c r="Z220" i="12"/>
  <c r="AE220" i="12"/>
  <c r="AF220" i="12"/>
  <c r="AG220" i="12"/>
  <c r="AH220" i="12"/>
  <c r="AI220" i="12"/>
  <c r="AJ220" i="12"/>
  <c r="D231" i="12"/>
  <c r="E231" i="12"/>
  <c r="F231" i="12"/>
  <c r="H231" i="12"/>
  <c r="I231" i="12"/>
  <c r="J231" i="12"/>
  <c r="K231" i="12"/>
  <c r="M231" i="12"/>
  <c r="N231" i="12"/>
  <c r="O231" i="12"/>
  <c r="S231" i="12"/>
  <c r="Y231" i="12"/>
  <c r="Z231" i="12"/>
  <c r="AE231" i="12"/>
  <c r="AF231" i="12"/>
  <c r="AG231" i="12"/>
  <c r="AH231" i="12"/>
  <c r="AI231" i="12"/>
  <c r="AJ231" i="12"/>
  <c r="C231" i="12"/>
  <c r="D223" i="12"/>
  <c r="E223" i="12"/>
  <c r="F223" i="12"/>
  <c r="H223" i="12"/>
  <c r="I223" i="12"/>
  <c r="J223" i="12"/>
  <c r="K223" i="12"/>
  <c r="M223" i="12"/>
  <c r="N223" i="12"/>
  <c r="O223" i="12"/>
  <c r="Q223" i="12"/>
  <c r="S223" i="12"/>
  <c r="Y223" i="12"/>
  <c r="Z223" i="12"/>
  <c r="AE223" i="12"/>
  <c r="AF223" i="12"/>
  <c r="AG223" i="12"/>
  <c r="AH223" i="12"/>
  <c r="AI223" i="12"/>
  <c r="AJ223" i="12"/>
  <c r="C223" i="12"/>
  <c r="D210" i="12"/>
  <c r="E210" i="12"/>
  <c r="F210" i="12"/>
  <c r="H210" i="12"/>
  <c r="I210" i="12"/>
  <c r="J210" i="12"/>
  <c r="K210" i="12"/>
  <c r="M210" i="12"/>
  <c r="N210" i="12"/>
  <c r="O210" i="12"/>
  <c r="Q210" i="12"/>
  <c r="T210" i="12"/>
  <c r="Y210" i="12"/>
  <c r="Z210" i="12"/>
  <c r="AE210" i="12"/>
  <c r="AF210" i="12"/>
  <c r="AG210" i="12"/>
  <c r="AH210" i="12"/>
  <c r="AI210" i="12"/>
  <c r="AJ210" i="12"/>
  <c r="C210" i="12"/>
  <c r="C206" i="12"/>
  <c r="D203" i="12"/>
  <c r="D202" i="12" s="1"/>
  <c r="E203" i="12"/>
  <c r="E202" i="12" s="1"/>
  <c r="F203" i="12"/>
  <c r="F202" i="12" s="1"/>
  <c r="G203" i="12"/>
  <c r="G202" i="12" s="1"/>
  <c r="H203" i="12"/>
  <c r="H202" i="12" s="1"/>
  <c r="I203" i="12"/>
  <c r="I202" i="12" s="1"/>
  <c r="J203" i="12"/>
  <c r="J202" i="12" s="1"/>
  <c r="K203" i="12"/>
  <c r="K202" i="12" s="1"/>
  <c r="L203" i="12"/>
  <c r="M203" i="12"/>
  <c r="M202" i="12" s="1"/>
  <c r="N203" i="12"/>
  <c r="N202" i="12" s="1"/>
  <c r="O203" i="12"/>
  <c r="O202" i="12" s="1"/>
  <c r="Q203" i="12"/>
  <c r="Q202" i="12" s="1"/>
  <c r="T203" i="12"/>
  <c r="T202" i="12" s="1"/>
  <c r="U202" i="12"/>
  <c r="V202" i="12"/>
  <c r="X203" i="12"/>
  <c r="X202" i="12" s="1"/>
  <c r="Y203" i="12"/>
  <c r="Y202" i="12" s="1"/>
  <c r="Z203" i="12"/>
  <c r="Z202" i="12" s="1"/>
  <c r="AB203" i="12"/>
  <c r="AB202" i="12" s="1"/>
  <c r="AC203" i="12"/>
  <c r="AC202" i="12" s="1"/>
  <c r="AE203" i="12"/>
  <c r="AE202" i="12" s="1"/>
  <c r="AF203" i="12"/>
  <c r="AF202" i="12" s="1"/>
  <c r="AG203" i="12"/>
  <c r="AG202" i="12" s="1"/>
  <c r="AH203" i="12"/>
  <c r="AH202" i="12" s="1"/>
  <c r="AI203" i="12"/>
  <c r="AI202" i="12" s="1"/>
  <c r="AJ203" i="12"/>
  <c r="AJ202" i="12" s="1"/>
  <c r="C203" i="12"/>
  <c r="C202" i="12" s="1"/>
  <c r="D150" i="12"/>
  <c r="E150" i="12"/>
  <c r="H150" i="12"/>
  <c r="I150" i="12"/>
  <c r="J150" i="12"/>
  <c r="K150" i="12"/>
  <c r="M150" i="12"/>
  <c r="N150" i="12"/>
  <c r="O150" i="12"/>
  <c r="Q150" i="12"/>
  <c r="Z150" i="12"/>
  <c r="AE150" i="12"/>
  <c r="AG150" i="12"/>
  <c r="AH150" i="12"/>
  <c r="AI150" i="12"/>
  <c r="AJ150" i="12"/>
  <c r="D130" i="12"/>
  <c r="E130" i="12"/>
  <c r="F130" i="12"/>
  <c r="H130" i="12"/>
  <c r="I130" i="12"/>
  <c r="J130" i="12"/>
  <c r="K130" i="12"/>
  <c r="M130" i="12"/>
  <c r="N130" i="12"/>
  <c r="O130" i="12"/>
  <c r="Q130" i="12"/>
  <c r="T130" i="12"/>
  <c r="U129" i="12"/>
  <c r="Z130" i="12"/>
  <c r="AF130" i="12"/>
  <c r="AG130" i="12"/>
  <c r="AH130" i="12"/>
  <c r="AI130" i="12"/>
  <c r="AJ130" i="12"/>
  <c r="C150" i="12"/>
  <c r="D116" i="12"/>
  <c r="E116" i="12"/>
  <c r="F116" i="12"/>
  <c r="H116" i="12"/>
  <c r="I116" i="12"/>
  <c r="J116" i="12"/>
  <c r="K116" i="12"/>
  <c r="M116" i="12"/>
  <c r="N116" i="12"/>
  <c r="O116" i="12"/>
  <c r="Q116" i="12"/>
  <c r="S116" i="12"/>
  <c r="T116" i="12"/>
  <c r="Z116" i="12"/>
  <c r="AE116" i="12"/>
  <c r="AF116" i="12"/>
  <c r="AG116" i="12"/>
  <c r="AH116" i="12"/>
  <c r="AI116" i="12"/>
  <c r="AJ116" i="12"/>
  <c r="D127" i="12"/>
  <c r="E127" i="12"/>
  <c r="F127" i="12"/>
  <c r="H127" i="12"/>
  <c r="I127" i="12"/>
  <c r="J127" i="12"/>
  <c r="K127" i="12"/>
  <c r="M127" i="12"/>
  <c r="N127" i="12"/>
  <c r="O127" i="12"/>
  <c r="S127" i="12"/>
  <c r="T127" i="12"/>
  <c r="Z127" i="12"/>
  <c r="AE127" i="12"/>
  <c r="AF127" i="12"/>
  <c r="AG127" i="12"/>
  <c r="AH127" i="12"/>
  <c r="AI127" i="12"/>
  <c r="AJ127" i="12"/>
  <c r="C127" i="12"/>
  <c r="D120" i="12"/>
  <c r="E120" i="12"/>
  <c r="F120" i="12"/>
  <c r="H120" i="12"/>
  <c r="I120" i="12"/>
  <c r="J120" i="12"/>
  <c r="K120" i="12"/>
  <c r="M120" i="12"/>
  <c r="N120" i="12"/>
  <c r="O120" i="12"/>
  <c r="Q120" i="12"/>
  <c r="S120" i="12"/>
  <c r="T120" i="12"/>
  <c r="U17" i="12"/>
  <c r="V120" i="12"/>
  <c r="Z120" i="12"/>
  <c r="AE120" i="12"/>
  <c r="AF120" i="12"/>
  <c r="AG120" i="12"/>
  <c r="AH120" i="12"/>
  <c r="AI120" i="12"/>
  <c r="AJ120" i="12"/>
  <c r="C120" i="12"/>
  <c r="C116" i="12"/>
  <c r="D111" i="12"/>
  <c r="E111" i="12"/>
  <c r="F111" i="12"/>
  <c r="H111" i="12"/>
  <c r="I111" i="12"/>
  <c r="J111" i="12"/>
  <c r="K111" i="12"/>
  <c r="M111" i="12"/>
  <c r="N111" i="12"/>
  <c r="O111" i="12"/>
  <c r="S111" i="12"/>
  <c r="Y111" i="12"/>
  <c r="Z111" i="12"/>
  <c r="AE111" i="12"/>
  <c r="AF111" i="12"/>
  <c r="AG111" i="12"/>
  <c r="AH111" i="12"/>
  <c r="AI111" i="12"/>
  <c r="AJ111" i="12"/>
  <c r="C111" i="12"/>
  <c r="D103" i="12"/>
  <c r="E103" i="12"/>
  <c r="F103" i="12"/>
  <c r="H103" i="12"/>
  <c r="I103" i="12"/>
  <c r="J103" i="12"/>
  <c r="K103" i="12"/>
  <c r="M103" i="12"/>
  <c r="N103" i="12"/>
  <c r="O103" i="12"/>
  <c r="Z103" i="12"/>
  <c r="AE103" i="12"/>
  <c r="AF103" i="12"/>
  <c r="AG103" i="12"/>
  <c r="AH103" i="12"/>
  <c r="AI103" i="12"/>
  <c r="AJ103" i="12"/>
  <c r="C103" i="12"/>
  <c r="D80" i="12"/>
  <c r="E80" i="12"/>
  <c r="F80" i="12"/>
  <c r="H80" i="12"/>
  <c r="I80" i="12"/>
  <c r="J80" i="12"/>
  <c r="K80" i="12"/>
  <c r="M80" i="12"/>
  <c r="N80" i="12"/>
  <c r="O80" i="12"/>
  <c r="Q80" i="12"/>
  <c r="T80" i="12"/>
  <c r="Y80" i="12"/>
  <c r="Z80" i="12"/>
  <c r="AE80" i="12"/>
  <c r="AF80" i="12"/>
  <c r="AG80" i="12"/>
  <c r="AH80" i="12"/>
  <c r="AI80" i="12"/>
  <c r="AJ80" i="12"/>
  <c r="D71" i="12"/>
  <c r="E71" i="12"/>
  <c r="F71" i="12"/>
  <c r="H71" i="12"/>
  <c r="I71" i="12"/>
  <c r="J71" i="12"/>
  <c r="K71" i="12"/>
  <c r="M71" i="12"/>
  <c r="N71" i="12"/>
  <c r="O71" i="12"/>
  <c r="Q71" i="12"/>
  <c r="T71" i="12"/>
  <c r="Y71" i="12"/>
  <c r="Z71" i="12"/>
  <c r="AE71" i="12"/>
  <c r="AF71" i="12"/>
  <c r="AG71" i="12"/>
  <c r="AH71" i="12"/>
  <c r="AI71" i="12"/>
  <c r="AJ71" i="12"/>
  <c r="C71" i="12"/>
  <c r="D51" i="12"/>
  <c r="E51" i="12"/>
  <c r="F51" i="12"/>
  <c r="H51" i="12"/>
  <c r="I51" i="12"/>
  <c r="J51" i="12"/>
  <c r="K51" i="12"/>
  <c r="M51" i="12"/>
  <c r="N51" i="12"/>
  <c r="O51" i="12"/>
  <c r="S51" i="12"/>
  <c r="T51" i="12"/>
  <c r="Y51" i="12"/>
  <c r="Z51" i="12"/>
  <c r="D60" i="12"/>
  <c r="E60" i="12"/>
  <c r="F60" i="12"/>
  <c r="H60" i="12"/>
  <c r="I60" i="12"/>
  <c r="J60" i="12"/>
  <c r="K60" i="12"/>
  <c r="M60" i="12"/>
  <c r="N60" i="12"/>
  <c r="O60" i="12"/>
  <c r="T60" i="12"/>
  <c r="Y60" i="12"/>
  <c r="Z60" i="12"/>
  <c r="AE60" i="12"/>
  <c r="AF60" i="12"/>
  <c r="AG60" i="12"/>
  <c r="AH60" i="12"/>
  <c r="AI60" i="12"/>
  <c r="AJ60" i="12"/>
  <c r="Q55" i="12"/>
  <c r="C60" i="12"/>
  <c r="C51" i="12"/>
  <c r="D20" i="12"/>
  <c r="E20" i="12"/>
  <c r="F20" i="12"/>
  <c r="H20" i="12"/>
  <c r="I20" i="12"/>
  <c r="J20" i="12"/>
  <c r="K20" i="12"/>
  <c r="M20" i="12"/>
  <c r="N20" i="12"/>
  <c r="O20" i="12"/>
  <c r="P20" i="12"/>
  <c r="P19" i="12" s="1"/>
  <c r="Q20" i="12"/>
  <c r="Q19" i="12" s="1"/>
  <c r="S20" i="12"/>
  <c r="T20" i="12"/>
  <c r="U19" i="12"/>
  <c r="V20" i="12"/>
  <c r="V19" i="12" s="1"/>
  <c r="Y20" i="12"/>
  <c r="Z20" i="12"/>
  <c r="AE20" i="12"/>
  <c r="AF20" i="12"/>
  <c r="AG20" i="12"/>
  <c r="AH20" i="12"/>
  <c r="AI20" i="12"/>
  <c r="AJ20" i="12"/>
  <c r="D26" i="12"/>
  <c r="E26" i="12"/>
  <c r="F26" i="12"/>
  <c r="H26" i="12"/>
  <c r="I26" i="12"/>
  <c r="J26" i="12"/>
  <c r="K26" i="12"/>
  <c r="M26" i="12"/>
  <c r="N26" i="12"/>
  <c r="O26" i="12"/>
  <c r="S26" i="12"/>
  <c r="T26" i="12"/>
  <c r="Y26" i="12"/>
  <c r="Z26" i="12"/>
  <c r="AE26" i="12"/>
  <c r="AF26" i="12"/>
  <c r="AG26" i="12"/>
  <c r="AH26" i="12"/>
  <c r="AI26" i="12"/>
  <c r="AJ26" i="12"/>
  <c r="I234" i="12" l="1"/>
  <c r="AE219" i="12"/>
  <c r="AE19" i="12"/>
  <c r="D19" i="12"/>
  <c r="AF234" i="12"/>
  <c r="AI234" i="12"/>
  <c r="Q16" i="12"/>
  <c r="T234" i="12"/>
  <c r="F19" i="12"/>
  <c r="AJ205" i="12"/>
  <c r="AH205" i="12"/>
  <c r="AJ234" i="12"/>
  <c r="N234" i="12"/>
  <c r="J234" i="12"/>
  <c r="Z19" i="12"/>
  <c r="AI205" i="12"/>
  <c r="C234" i="12"/>
  <c r="AG234" i="12"/>
  <c r="AH234" i="12"/>
  <c r="H234" i="12"/>
  <c r="S234" i="12"/>
  <c r="E234" i="12"/>
  <c r="AE234" i="12"/>
  <c r="M234" i="12"/>
  <c r="D234" i="12"/>
  <c r="M19" i="12"/>
  <c r="F234" i="12"/>
  <c r="K19" i="12"/>
  <c r="AI19" i="12"/>
  <c r="T115" i="12"/>
  <c r="Q115" i="12"/>
  <c r="Z234" i="12"/>
  <c r="O234" i="12"/>
  <c r="K234" i="12"/>
  <c r="AJ19" i="12"/>
  <c r="Y19" i="12"/>
  <c r="O19" i="12"/>
  <c r="J19" i="12"/>
  <c r="AH129" i="12"/>
  <c r="L202" i="12"/>
  <c r="L17" i="12"/>
  <c r="Q234" i="12"/>
  <c r="N19" i="12"/>
  <c r="AH19" i="12"/>
  <c r="H19" i="12"/>
  <c r="U15" i="12"/>
  <c r="I19" i="12"/>
  <c r="T19" i="12"/>
  <c r="AH219" i="12"/>
  <c r="AG19" i="12"/>
  <c r="AF19" i="12"/>
  <c r="S19" i="12"/>
  <c r="E19" i="12"/>
  <c r="AG219" i="12"/>
  <c r="V234" i="12"/>
  <c r="AJ115" i="12"/>
  <c r="V115" i="12"/>
  <c r="N115" i="12"/>
  <c r="K115" i="12"/>
  <c r="U115" i="12"/>
  <c r="AI50" i="12"/>
  <c r="I115" i="12"/>
  <c r="U234" i="12"/>
  <c r="Z50" i="12"/>
  <c r="S219" i="12"/>
  <c r="H219" i="12"/>
  <c r="I219" i="12"/>
  <c r="AA246" i="12"/>
  <c r="AH115" i="12"/>
  <c r="Z115" i="12"/>
  <c r="Q219" i="12"/>
  <c r="AH50" i="12"/>
  <c r="F50" i="12"/>
  <c r="AG115" i="12"/>
  <c r="S115" i="12"/>
  <c r="H115" i="12"/>
  <c r="AI129" i="12"/>
  <c r="Z219" i="12"/>
  <c r="D219" i="12"/>
  <c r="AF219" i="12"/>
  <c r="C98" i="12"/>
  <c r="AI115" i="12"/>
  <c r="J115" i="12"/>
  <c r="F219" i="12"/>
  <c r="Z98" i="12"/>
  <c r="AJ98" i="12"/>
  <c r="Q129" i="12"/>
  <c r="Y219" i="12"/>
  <c r="AI98" i="12"/>
  <c r="AF115" i="12"/>
  <c r="J219" i="12"/>
  <c r="AI219" i="12"/>
  <c r="D98" i="12"/>
  <c r="L98" i="12"/>
  <c r="N98" i="12"/>
  <c r="K98" i="12"/>
  <c r="AJ129" i="12"/>
  <c r="E219" i="12"/>
  <c r="O98" i="12"/>
  <c r="V98" i="12"/>
  <c r="M219" i="12"/>
  <c r="U98" i="12"/>
  <c r="I98" i="12"/>
  <c r="F115" i="12"/>
  <c r="V129" i="12"/>
  <c r="C205" i="12"/>
  <c r="O219" i="12"/>
  <c r="L219" i="12"/>
  <c r="J98" i="12"/>
  <c r="L63" i="12"/>
  <c r="AH98" i="12"/>
  <c r="H98" i="12"/>
  <c r="AE115" i="12"/>
  <c r="E115" i="12"/>
  <c r="V219" i="12"/>
  <c r="N219" i="12"/>
  <c r="K219" i="12"/>
  <c r="L79" i="12"/>
  <c r="AG98" i="12"/>
  <c r="Q98" i="12"/>
  <c r="M115" i="12"/>
  <c r="D115" i="12"/>
  <c r="U219" i="12"/>
  <c r="L129" i="12"/>
  <c r="V63" i="12"/>
  <c r="AF98" i="12"/>
  <c r="O115" i="12"/>
  <c r="L115" i="12"/>
  <c r="AJ219" i="12"/>
  <c r="AG50" i="12"/>
  <c r="AE50" i="12"/>
  <c r="H50" i="12"/>
  <c r="Y50" i="12"/>
  <c r="Q63" i="12"/>
  <c r="X50" i="12"/>
  <c r="T50" i="12"/>
  <c r="AE98" i="12"/>
  <c r="F98" i="12"/>
  <c r="AF50" i="12"/>
  <c r="I50" i="12"/>
  <c r="Q50" i="12"/>
  <c r="J50" i="12"/>
  <c r="U79" i="12"/>
  <c r="M98" i="12"/>
  <c r="E98" i="12"/>
  <c r="E50" i="12"/>
  <c r="V50" i="12"/>
  <c r="O50" i="12"/>
  <c r="L50" i="12"/>
  <c r="D50" i="12"/>
  <c r="U63" i="12"/>
  <c r="M50" i="12"/>
  <c r="AJ50" i="12"/>
  <c r="U50" i="12"/>
  <c r="N50" i="12"/>
  <c r="K50" i="12"/>
  <c r="L15" i="12" l="1"/>
  <c r="L326" i="12"/>
  <c r="Q326" i="12"/>
  <c r="U326" i="12"/>
  <c r="V326" i="12"/>
  <c r="AH326" i="12"/>
  <c r="AI326" i="12"/>
  <c r="AJ326" i="12"/>
  <c r="D324" i="12"/>
  <c r="E324" i="12"/>
  <c r="F324" i="12"/>
  <c r="H324" i="12"/>
  <c r="I324" i="12"/>
  <c r="J324" i="12"/>
  <c r="K324" i="12"/>
  <c r="L324" i="12"/>
  <c r="M324" i="12"/>
  <c r="N324" i="12"/>
  <c r="O324" i="12"/>
  <c r="Q324" i="12"/>
  <c r="S324" i="12"/>
  <c r="T324" i="12"/>
  <c r="X324" i="12"/>
  <c r="Y324" i="12"/>
  <c r="Z324" i="12"/>
  <c r="AB324" i="12"/>
  <c r="AD324" i="12"/>
  <c r="AE324" i="12"/>
  <c r="AF324" i="12"/>
  <c r="AG324" i="12"/>
  <c r="AH324" i="12"/>
  <c r="AI324" i="12"/>
  <c r="AJ324" i="12"/>
  <c r="C324" i="12"/>
  <c r="D300" i="12"/>
  <c r="D299" i="12" s="1"/>
  <c r="E300" i="12"/>
  <c r="E299" i="12" s="1"/>
  <c r="F300" i="12"/>
  <c r="F299" i="12" s="1"/>
  <c r="H300" i="12"/>
  <c r="H299" i="12" s="1"/>
  <c r="I300" i="12"/>
  <c r="I299" i="12" s="1"/>
  <c r="J300" i="12"/>
  <c r="J299" i="12" s="1"/>
  <c r="K300" i="12"/>
  <c r="K299" i="12" s="1"/>
  <c r="M300" i="12"/>
  <c r="M299" i="12" s="1"/>
  <c r="N300" i="12"/>
  <c r="N299" i="12" s="1"/>
  <c r="O300" i="12"/>
  <c r="O299" i="12" s="1"/>
  <c r="Q300" i="12"/>
  <c r="S300" i="12"/>
  <c r="T300" i="12"/>
  <c r="T299" i="12" s="1"/>
  <c r="Y300" i="12"/>
  <c r="Y299" i="12" s="1"/>
  <c r="Z300" i="12"/>
  <c r="Z299" i="12" s="1"/>
  <c r="AD300" i="12"/>
  <c r="AE300" i="12"/>
  <c r="AE299" i="12" s="1"/>
  <c r="AF300" i="12"/>
  <c r="AF299" i="12" s="1"/>
  <c r="AG300" i="12"/>
  <c r="AG299" i="12" s="1"/>
  <c r="AH300" i="12"/>
  <c r="AH299" i="12" s="1"/>
  <c r="AI300" i="12"/>
  <c r="AJ300" i="12"/>
  <c r="AJ299" i="12" s="1"/>
  <c r="C300" i="12"/>
  <c r="C299" i="12" s="1"/>
  <c r="D288" i="12"/>
  <c r="E288" i="12"/>
  <c r="F288" i="12"/>
  <c r="H288" i="12"/>
  <c r="I288" i="12"/>
  <c r="J288" i="12"/>
  <c r="K288" i="12"/>
  <c r="M288" i="12"/>
  <c r="N288" i="12"/>
  <c r="O288" i="12"/>
  <c r="Q288" i="12"/>
  <c r="S288" i="12"/>
  <c r="T288" i="12"/>
  <c r="Z288" i="12"/>
  <c r="AD288" i="12"/>
  <c r="AE288" i="12"/>
  <c r="AF288" i="12"/>
  <c r="AG288" i="12"/>
  <c r="AH288" i="12"/>
  <c r="AI288" i="12"/>
  <c r="AJ288" i="12"/>
  <c r="C288" i="12"/>
  <c r="D280" i="12"/>
  <c r="E280" i="12"/>
  <c r="F280" i="12"/>
  <c r="H280" i="12"/>
  <c r="I280" i="12"/>
  <c r="J280" i="12"/>
  <c r="K280" i="12"/>
  <c r="M280" i="12"/>
  <c r="N280" i="12"/>
  <c r="O280" i="12"/>
  <c r="T280" i="12"/>
  <c r="X280" i="12"/>
  <c r="Z280" i="12"/>
  <c r="AE280" i="12"/>
  <c r="AF280" i="12"/>
  <c r="AG280" i="12"/>
  <c r="AH280" i="12"/>
  <c r="AI280" i="12"/>
  <c r="AJ280" i="12"/>
  <c r="D285" i="12"/>
  <c r="E285" i="12"/>
  <c r="F285" i="12"/>
  <c r="H285" i="12"/>
  <c r="I285" i="12"/>
  <c r="J285" i="12"/>
  <c r="K285" i="12"/>
  <c r="M285" i="12"/>
  <c r="N285" i="12"/>
  <c r="O285" i="12"/>
  <c r="S285" i="12"/>
  <c r="T285" i="12"/>
  <c r="Z285" i="12"/>
  <c r="AB285" i="12"/>
  <c r="AD285" i="12"/>
  <c r="AE285" i="12"/>
  <c r="AF285" i="12"/>
  <c r="AG285" i="12"/>
  <c r="AH285" i="12"/>
  <c r="AI285" i="12"/>
  <c r="AJ285" i="12"/>
  <c r="C285" i="12"/>
  <c r="C280" i="12"/>
  <c r="L270" i="12"/>
  <c r="Q271" i="12"/>
  <c r="Q270" i="12" s="1"/>
  <c r="U270" i="12"/>
  <c r="V270" i="12"/>
  <c r="D268" i="12"/>
  <c r="D267" i="12" s="1"/>
  <c r="E268" i="12"/>
  <c r="E267" i="12" s="1"/>
  <c r="F268" i="12"/>
  <c r="F267" i="12" s="1"/>
  <c r="H268" i="12"/>
  <c r="H267" i="12" s="1"/>
  <c r="I268" i="12"/>
  <c r="I267" i="12" s="1"/>
  <c r="J268" i="12"/>
  <c r="J267" i="12" s="1"/>
  <c r="K268" i="12"/>
  <c r="K267" i="12" s="1"/>
  <c r="M268" i="12"/>
  <c r="M267" i="12" s="1"/>
  <c r="N268" i="12"/>
  <c r="N267" i="12" s="1"/>
  <c r="O268" i="12"/>
  <c r="O267" i="12" s="1"/>
  <c r="Q268" i="12"/>
  <c r="Q267" i="12" s="1"/>
  <c r="S268" i="12"/>
  <c r="S267" i="12" s="1"/>
  <c r="T268" i="12"/>
  <c r="T267" i="12" s="1"/>
  <c r="X268" i="12"/>
  <c r="X267" i="12" s="1"/>
  <c r="Y268" i="12"/>
  <c r="Y267" i="12" s="1"/>
  <c r="Z268" i="12"/>
  <c r="Z267" i="12" s="1"/>
  <c r="AB268" i="12"/>
  <c r="AB267" i="12" s="1"/>
  <c r="AD268" i="12"/>
  <c r="AE268" i="12"/>
  <c r="AF268" i="12"/>
  <c r="AG268" i="12"/>
  <c r="AH268" i="12"/>
  <c r="AI268" i="12"/>
  <c r="AJ268" i="12"/>
  <c r="C268" i="12"/>
  <c r="C267" i="12" s="1"/>
  <c r="D256" i="12"/>
  <c r="E256" i="12"/>
  <c r="F256" i="12"/>
  <c r="H256" i="12"/>
  <c r="I256" i="12"/>
  <c r="J256" i="12"/>
  <c r="K256" i="12"/>
  <c r="M256" i="12"/>
  <c r="M249" i="12" s="1"/>
  <c r="N256" i="12"/>
  <c r="N249" i="12" s="1"/>
  <c r="O256" i="12"/>
  <c r="O249" i="12" s="1"/>
  <c r="Q256" i="12"/>
  <c r="S256" i="12"/>
  <c r="T256" i="12"/>
  <c r="X256" i="12"/>
  <c r="Y256" i="12"/>
  <c r="Z256" i="12"/>
  <c r="Z249" i="12" s="1"/>
  <c r="AB256" i="12"/>
  <c r="AD256" i="12"/>
  <c r="AE256" i="12"/>
  <c r="AF256" i="12"/>
  <c r="AG256" i="12"/>
  <c r="AH256" i="12"/>
  <c r="AI256" i="12"/>
  <c r="AJ256" i="12"/>
  <c r="C256" i="12"/>
  <c r="Q258" i="12"/>
  <c r="D264" i="12"/>
  <c r="E264" i="12"/>
  <c r="F264" i="12"/>
  <c r="H264" i="12"/>
  <c r="I264" i="12"/>
  <c r="J264" i="12"/>
  <c r="K264" i="12"/>
  <c r="M264" i="12"/>
  <c r="N264" i="12"/>
  <c r="O264" i="12"/>
  <c r="Q264" i="12"/>
  <c r="S264" i="12"/>
  <c r="T264" i="12"/>
  <c r="X264" i="12"/>
  <c r="Z264" i="12"/>
  <c r="AE264" i="12"/>
  <c r="AF264" i="12"/>
  <c r="AG264" i="12"/>
  <c r="AH264" i="12"/>
  <c r="AI264" i="12"/>
  <c r="AJ264" i="12"/>
  <c r="C264" i="12"/>
  <c r="AJ253" i="12"/>
  <c r="AI253" i="12"/>
  <c r="AH253" i="12"/>
  <c r="AG253" i="12"/>
  <c r="AF253" i="12"/>
  <c r="AE253" i="12"/>
  <c r="AB253" i="12"/>
  <c r="AB252" i="12" s="1"/>
  <c r="Z253" i="12"/>
  <c r="Y253" i="12"/>
  <c r="X253" i="12"/>
  <c r="X252" i="12" s="1"/>
  <c r="V252" i="12"/>
  <c r="V14" i="12" s="1"/>
  <c r="U252" i="12"/>
  <c r="U14" i="12" s="1"/>
  <c r="T253" i="12"/>
  <c r="S253" i="12"/>
  <c r="Q253" i="12"/>
  <c r="Q252" i="12" s="1"/>
  <c r="Q14" i="12" s="1"/>
  <c r="P14" i="12"/>
  <c r="O253" i="12"/>
  <c r="N253" i="12"/>
  <c r="M253" i="12"/>
  <c r="L253" i="12"/>
  <c r="L252" i="12" s="1"/>
  <c r="L14" i="12" s="1"/>
  <c r="K253" i="12"/>
  <c r="J253" i="12"/>
  <c r="I253" i="12"/>
  <c r="H253" i="12"/>
  <c r="F253" i="12"/>
  <c r="E253" i="12"/>
  <c r="D253" i="12"/>
  <c r="C253" i="12"/>
  <c r="C252" i="12" s="1"/>
  <c r="C14" i="12" s="1"/>
  <c r="AA298" i="12"/>
  <c r="X298" i="12"/>
  <c r="R298" i="12"/>
  <c r="G298" i="12"/>
  <c r="AA297" i="12"/>
  <c r="X297" i="12"/>
  <c r="W297" i="12" s="1"/>
  <c r="R297" i="12"/>
  <c r="G297" i="12"/>
  <c r="AA263" i="12"/>
  <c r="R263" i="12"/>
  <c r="G263" i="12"/>
  <c r="AA257" i="12"/>
  <c r="AA256" i="12" s="1"/>
  <c r="W256" i="12"/>
  <c r="R256" i="12"/>
  <c r="AD254" i="12"/>
  <c r="AD253" i="12" s="1"/>
  <c r="AD252" i="12" s="1"/>
  <c r="AC254" i="12"/>
  <c r="AA253" i="12" s="1"/>
  <c r="AA252" i="12" s="1"/>
  <c r="W253" i="12"/>
  <c r="W252" i="12" s="1"/>
  <c r="R254" i="12"/>
  <c r="R253" i="12" s="1"/>
  <c r="R252" i="12" s="1"/>
  <c r="M296" i="12"/>
  <c r="M295" i="12" s="1"/>
  <c r="K296" i="12"/>
  <c r="K295" i="12" s="1"/>
  <c r="J296" i="12"/>
  <c r="J295" i="12" s="1"/>
  <c r="I296" i="12"/>
  <c r="I295" i="12" s="1"/>
  <c r="H296" i="12"/>
  <c r="H295" i="12" s="1"/>
  <c r="F296" i="12"/>
  <c r="F295" i="12" s="1"/>
  <c r="E296" i="12"/>
  <c r="E295" i="12" s="1"/>
  <c r="D296" i="12"/>
  <c r="D295" i="12" s="1"/>
  <c r="C296" i="12"/>
  <c r="C295" i="12" s="1"/>
  <c r="G257" i="12"/>
  <c r="G256" i="12" s="1"/>
  <c r="G254" i="12"/>
  <c r="G253" i="12" s="1"/>
  <c r="G252" i="12" s="1"/>
  <c r="R54" i="12"/>
  <c r="R53" i="12"/>
  <c r="R52" i="12"/>
  <c r="AA49" i="12"/>
  <c r="AA48" i="12"/>
  <c r="AA47" i="12"/>
  <c r="AA46" i="12"/>
  <c r="AD43" i="12"/>
  <c r="AD42" i="12"/>
  <c r="AD40" i="12"/>
  <c r="AD39" i="12"/>
  <c r="AF44" i="12"/>
  <c r="AD44" i="12" s="1"/>
  <c r="AH41" i="12"/>
  <c r="AD41" i="12" s="1"/>
  <c r="E249" i="12" l="1"/>
  <c r="C249" i="12"/>
  <c r="D249" i="12"/>
  <c r="J249" i="12"/>
  <c r="K249" i="12"/>
  <c r="T249" i="12"/>
  <c r="I249" i="12"/>
  <c r="H249" i="12"/>
  <c r="Q249" i="12"/>
  <c r="F249" i="12"/>
  <c r="AJ251" i="12"/>
  <c r="F250" i="12"/>
  <c r="AH249" i="12"/>
  <c r="E250" i="12"/>
  <c r="AI251" i="12"/>
  <c r="AH267" i="12"/>
  <c r="AH250" i="12"/>
  <c r="X250" i="12"/>
  <c r="D250" i="12"/>
  <c r="H250" i="12"/>
  <c r="AI267" i="12"/>
  <c r="M250" i="12"/>
  <c r="C250" i="12"/>
  <c r="AF267" i="12"/>
  <c r="AF250" i="12"/>
  <c r="K250" i="12"/>
  <c r="AJ267" i="12"/>
  <c r="AJ250" i="12"/>
  <c r="AH251" i="12"/>
  <c r="AG267" i="12"/>
  <c r="AG250" i="12"/>
  <c r="AE267" i="12"/>
  <c r="AE250" i="12"/>
  <c r="J250" i="12"/>
  <c r="N250" i="12"/>
  <c r="Z250" i="12"/>
  <c r="T250" i="12"/>
  <c r="O250" i="12"/>
  <c r="I250" i="12"/>
  <c r="AJ249" i="12"/>
  <c r="AE249" i="12"/>
  <c r="AF249" i="12"/>
  <c r="AG249" i="12"/>
  <c r="AI249" i="12"/>
  <c r="F252" i="12"/>
  <c r="F14" i="12" s="1"/>
  <c r="H252" i="12"/>
  <c r="H14" i="12" s="1"/>
  <c r="T252" i="12"/>
  <c r="T14" i="12" s="1"/>
  <c r="AF252" i="12"/>
  <c r="AF14" i="12" s="1"/>
  <c r="I252" i="12"/>
  <c r="I14" i="12" s="1"/>
  <c r="J252" i="12"/>
  <c r="J14" i="12" s="1"/>
  <c r="N252" i="12"/>
  <c r="N14" i="12" s="1"/>
  <c r="AH252" i="12"/>
  <c r="AH14" i="12" s="1"/>
  <c r="S252" i="12"/>
  <c r="S14" i="12" s="1"/>
  <c r="K252" i="12"/>
  <c r="K14" i="12" s="1"/>
  <c r="O252" i="12"/>
  <c r="O14" i="12" s="1"/>
  <c r="AI252" i="12"/>
  <c r="AI14" i="12" s="1"/>
  <c r="F270" i="12"/>
  <c r="W298" i="12"/>
  <c r="AG252" i="12"/>
  <c r="AG14" i="12" s="1"/>
  <c r="Y252" i="12"/>
  <c r="Y14" i="12" s="1"/>
  <c r="AJ252" i="12"/>
  <c r="AJ14" i="12" s="1"/>
  <c r="AE252" i="12"/>
  <c r="AE14" i="12" s="1"/>
  <c r="D252" i="12"/>
  <c r="D14" i="12" s="1"/>
  <c r="M252" i="12"/>
  <c r="M14" i="12" s="1"/>
  <c r="Z252" i="12"/>
  <c r="Z14" i="12" s="1"/>
  <c r="E252" i="12"/>
  <c r="E14" i="12" s="1"/>
  <c r="C270" i="12"/>
  <c r="AH270" i="12"/>
  <c r="AF270" i="12"/>
  <c r="AE270" i="12"/>
  <c r="T270" i="12"/>
  <c r="H270" i="12"/>
  <c r="N270" i="12"/>
  <c r="AD270" i="12"/>
  <c r="S270" i="12"/>
  <c r="O270" i="12"/>
  <c r="AG270" i="12"/>
  <c r="J270" i="12"/>
  <c r="E270" i="12"/>
  <c r="X270" i="12"/>
  <c r="AJ270" i="12"/>
  <c r="Z270" i="12"/>
  <c r="M270" i="12"/>
  <c r="D270" i="12"/>
  <c r="K270" i="12"/>
  <c r="I270" i="12"/>
  <c r="AI270" i="12"/>
  <c r="Y270" i="12"/>
  <c r="AA296" i="12"/>
  <c r="AA295" i="12" s="1"/>
  <c r="R296" i="12"/>
  <c r="R295" i="12" s="1"/>
  <c r="X296" i="12"/>
  <c r="X295" i="12" s="1"/>
  <c r="T287" i="12"/>
  <c r="J317" i="12"/>
  <c r="AG275" i="12"/>
  <c r="I317" i="12"/>
  <c r="H275" i="12"/>
  <c r="Z275" i="12"/>
  <c r="O275" i="12"/>
  <c r="K275" i="12"/>
  <c r="C287" i="12"/>
  <c r="AI317" i="12"/>
  <c r="C275" i="12"/>
  <c r="AG317" i="12"/>
  <c r="AE317" i="12"/>
  <c r="F317" i="12"/>
  <c r="T317" i="12"/>
  <c r="Z287" i="12"/>
  <c r="AD317" i="12"/>
  <c r="E317" i="12"/>
  <c r="M317" i="12"/>
  <c r="D317" i="12"/>
  <c r="AF317" i="12"/>
  <c r="Z317" i="12"/>
  <c r="L317" i="12"/>
  <c r="X317" i="12"/>
  <c r="R51" i="12"/>
  <c r="AI287" i="12"/>
  <c r="AH317" i="12"/>
  <c r="U13" i="12"/>
  <c r="AH287" i="12"/>
  <c r="AF287" i="12"/>
  <c r="AH255" i="12"/>
  <c r="AI275" i="12"/>
  <c r="O317" i="12"/>
  <c r="F287" i="12"/>
  <c r="T275" i="12"/>
  <c r="AE275" i="12"/>
  <c r="E275" i="12"/>
  <c r="V317" i="12"/>
  <c r="S255" i="12"/>
  <c r="Q255" i="12"/>
  <c r="J275" i="12"/>
  <c r="C255" i="12"/>
  <c r="M275" i="12"/>
  <c r="D275" i="12"/>
  <c r="S287" i="12"/>
  <c r="AC256" i="12"/>
  <c r="Q275" i="12"/>
  <c r="I275" i="12"/>
  <c r="L275" i="12"/>
  <c r="U12" i="12"/>
  <c r="AG255" i="12"/>
  <c r="E255" i="12"/>
  <c r="M255" i="12"/>
  <c r="I255" i="12"/>
  <c r="AE255" i="12"/>
  <c r="X255" i="12"/>
  <c r="L255" i="12"/>
  <c r="AH275" i="12"/>
  <c r="C317" i="12"/>
  <c r="O255" i="12"/>
  <c r="V11" i="12"/>
  <c r="J255" i="12"/>
  <c r="AF275" i="12"/>
  <c r="K255" i="12"/>
  <c r="Q13" i="12"/>
  <c r="Z255" i="12"/>
  <c r="AF255" i="12"/>
  <c r="D255" i="12"/>
  <c r="AI255" i="12"/>
  <c r="T255" i="12"/>
  <c r="H255" i="12"/>
  <c r="AG287" i="12"/>
  <c r="AE287" i="12"/>
  <c r="I287" i="12"/>
  <c r="Q11" i="12"/>
  <c r="AJ255" i="12"/>
  <c r="U11" i="12"/>
  <c r="N255" i="12"/>
  <c r="Q287" i="12"/>
  <c r="V275" i="12"/>
  <c r="L13" i="12"/>
  <c r="F275" i="12"/>
  <c r="H317" i="12"/>
  <c r="J287" i="12"/>
  <c r="H287" i="12"/>
  <c r="AC253" i="12"/>
  <c r="AC252" i="12" s="1"/>
  <c r="V13" i="12"/>
  <c r="F255" i="12"/>
  <c r="Q317" i="12"/>
  <c r="AJ275" i="12"/>
  <c r="U275" i="12"/>
  <c r="N275" i="12"/>
  <c r="AD287" i="12"/>
  <c r="M287" i="12"/>
  <c r="E287" i="12"/>
  <c r="AJ317" i="12"/>
  <c r="U317" i="12"/>
  <c r="N317" i="12"/>
  <c r="K317" i="12"/>
  <c r="V287" i="12"/>
  <c r="O287" i="12"/>
  <c r="L287" i="12"/>
  <c r="D287" i="12"/>
  <c r="AJ287" i="12"/>
  <c r="U287" i="12"/>
  <c r="N287" i="12"/>
  <c r="K287" i="12"/>
  <c r="G296" i="12"/>
  <c r="G295" i="12" s="1"/>
  <c r="AH248" i="12" l="1"/>
  <c r="AH63" i="12"/>
  <c r="AH79" i="12"/>
  <c r="AJ248" i="12"/>
  <c r="U10" i="12"/>
  <c r="W296" i="12"/>
  <c r="W295" i="12" s="1"/>
  <c r="U248" i="12"/>
  <c r="Q248" i="12"/>
  <c r="Q85" i="12" s="1"/>
  <c r="V248" i="12"/>
  <c r="V79" i="12" l="1"/>
  <c r="V17" i="12"/>
  <c r="Q79" i="12"/>
  <c r="Q17" i="12"/>
  <c r="AJ63" i="12"/>
  <c r="AJ79" i="12"/>
  <c r="S36" i="12"/>
  <c r="AD49" i="12"/>
  <c r="AJ45" i="12"/>
  <c r="AJ18" i="12" s="1"/>
  <c r="AJ13" i="12" s="1"/>
  <c r="AI45" i="12"/>
  <c r="AI18" i="12" s="1"/>
  <c r="AI13" i="12" s="1"/>
  <c r="AH48" i="12"/>
  <c r="AF48" i="12"/>
  <c r="AH47" i="12"/>
  <c r="AD47" i="12" s="1"/>
  <c r="AH46" i="12"/>
  <c r="AF46" i="12"/>
  <c r="AJ38" i="12"/>
  <c r="AI38" i="12"/>
  <c r="AH38" i="12"/>
  <c r="AH17" i="12" s="1"/>
  <c r="AH12" i="12" s="1"/>
  <c r="AH30" i="12"/>
  <c r="AH16" i="12" s="1"/>
  <c r="AD31" i="12"/>
  <c r="AD32" i="12"/>
  <c r="AD33" i="12"/>
  <c r="AD34" i="12"/>
  <c r="AD35" i="12"/>
  <c r="AD36" i="12"/>
  <c r="AD37" i="12"/>
  <c r="V15" i="12" l="1"/>
  <c r="V12" i="12"/>
  <c r="V10" i="12" s="1"/>
  <c r="Q15" i="12"/>
  <c r="Q12" i="12"/>
  <c r="Q10" i="12" s="1"/>
  <c r="AI29" i="12"/>
  <c r="AJ17" i="12"/>
  <c r="AJ12" i="12" s="1"/>
  <c r="AJ29" i="12"/>
  <c r="AH11" i="12"/>
  <c r="AJ16" i="12"/>
  <c r="AD46" i="12"/>
  <c r="AH45" i="12"/>
  <c r="AD48" i="12"/>
  <c r="AD28" i="12"/>
  <c r="AD27" i="12"/>
  <c r="AD25" i="12"/>
  <c r="AD24" i="12"/>
  <c r="AD23" i="12"/>
  <c r="AD22" i="12"/>
  <c r="AD21" i="12"/>
  <c r="R34" i="12"/>
  <c r="R33" i="12"/>
  <c r="AD26" i="12" l="1"/>
  <c r="AH29" i="12"/>
  <c r="AH18" i="12"/>
  <c r="AJ15" i="12"/>
  <c r="AJ11" i="12"/>
  <c r="AJ10" i="12" s="1"/>
  <c r="AD20" i="12"/>
  <c r="AD19" i="12" l="1"/>
  <c r="AD14" i="12" s="1"/>
  <c r="AH13" i="12"/>
  <c r="AH10" i="12" s="1"/>
  <c r="AH15" i="12"/>
  <c r="S32" i="12"/>
  <c r="W31" i="12"/>
  <c r="X28" i="12"/>
  <c r="X26" i="12" s="1"/>
  <c r="X25" i="12"/>
  <c r="X20" i="12" s="1"/>
  <c r="X19" i="12" l="1"/>
  <c r="X14" i="12" s="1"/>
  <c r="W22" i="12"/>
  <c r="S284" i="12" l="1"/>
  <c r="S283" i="12"/>
  <c r="S281" i="12"/>
  <c r="S110" i="12"/>
  <c r="S103" i="12" s="1"/>
  <c r="S98" i="12" s="1"/>
  <c r="S278" i="12"/>
  <c r="S276" i="12" s="1"/>
  <c r="S249" i="12" s="1"/>
  <c r="T114" i="12"/>
  <c r="T113" i="12"/>
  <c r="T112" i="12"/>
  <c r="T111" i="12" s="1"/>
  <c r="T108" i="12"/>
  <c r="T107" i="12"/>
  <c r="T106" i="12"/>
  <c r="T105" i="12"/>
  <c r="T104" i="12"/>
  <c r="T100" i="12"/>
  <c r="T101" i="12"/>
  <c r="T99" i="12" l="1"/>
  <c r="T103" i="12"/>
  <c r="T98" i="12" l="1"/>
  <c r="R286" i="12"/>
  <c r="R285" i="12" s="1"/>
  <c r="R114" i="12"/>
  <c r="R284" i="12"/>
  <c r="R283" i="12"/>
  <c r="S282" i="12"/>
  <c r="S280" i="12" s="1"/>
  <c r="R281" i="12"/>
  <c r="R110" i="12"/>
  <c r="R109" i="12"/>
  <c r="R108" i="12"/>
  <c r="R107" i="12"/>
  <c r="R278" i="12"/>
  <c r="R102" i="12"/>
  <c r="R282" i="12" l="1"/>
  <c r="R280" i="12" s="1"/>
  <c r="S275" i="12"/>
  <c r="R339" i="12"/>
  <c r="R338" i="12"/>
  <c r="R335" i="12"/>
  <c r="R334" i="12"/>
  <c r="R244" i="12"/>
  <c r="R243" i="12"/>
  <c r="R242" i="12"/>
  <c r="R237" i="12"/>
  <c r="R238" i="12"/>
  <c r="R239" i="12"/>
  <c r="R240" i="12"/>
  <c r="R328" i="12"/>
  <c r="R329" i="12"/>
  <c r="R330" i="12"/>
  <c r="R331" i="12"/>
  <c r="R332" i="12"/>
  <c r="R236" i="12"/>
  <c r="R325" i="12"/>
  <c r="R324" i="12" s="1"/>
  <c r="R323" i="12"/>
  <c r="R322" i="12"/>
  <c r="R319" i="12"/>
  <c r="R217" i="12"/>
  <c r="R316" i="12"/>
  <c r="R311" i="12"/>
  <c r="R307" i="12"/>
  <c r="R213" i="12"/>
  <c r="R212" i="12"/>
  <c r="R211" i="12"/>
  <c r="R305" i="12"/>
  <c r="R304" i="12"/>
  <c r="R303" i="12"/>
  <c r="R209" i="12"/>
  <c r="R302" i="12"/>
  <c r="R301" i="12"/>
  <c r="R199" i="12"/>
  <c r="R198" i="12"/>
  <c r="R197" i="12"/>
  <c r="R195" i="12"/>
  <c r="R194" i="12"/>
  <c r="R193" i="12"/>
  <c r="R192" i="12"/>
  <c r="R191" i="12"/>
  <c r="R188" i="12"/>
  <c r="R186" i="12"/>
  <c r="R185" i="12"/>
  <c r="R183" i="12"/>
  <c r="R182" i="12"/>
  <c r="R181" i="12"/>
  <c r="R179" i="12"/>
  <c r="R178" i="12"/>
  <c r="R173" i="12"/>
  <c r="R171" i="12"/>
  <c r="R170" i="12"/>
  <c r="R169" i="12"/>
  <c r="R168" i="12"/>
  <c r="R167" i="12"/>
  <c r="R166" i="12"/>
  <c r="R164" i="12"/>
  <c r="R163" i="12"/>
  <c r="R162" i="12"/>
  <c r="R161" i="12"/>
  <c r="R159" i="12"/>
  <c r="R156" i="12"/>
  <c r="R155" i="12"/>
  <c r="R152" i="12"/>
  <c r="R149" i="12"/>
  <c r="R148" i="12"/>
  <c r="R147" i="12"/>
  <c r="R146" i="12"/>
  <c r="R145" i="12"/>
  <c r="R144" i="12"/>
  <c r="R143" i="12"/>
  <c r="R142" i="12"/>
  <c r="R141" i="12"/>
  <c r="R140" i="12"/>
  <c r="R138" i="12"/>
  <c r="R137" i="12"/>
  <c r="R136" i="12"/>
  <c r="R134" i="12"/>
  <c r="R133" i="12"/>
  <c r="R132" i="12"/>
  <c r="R294" i="12"/>
  <c r="R293" i="12" s="1"/>
  <c r="R128" i="12"/>
  <c r="R127" i="12" s="1"/>
  <c r="R292" i="12"/>
  <c r="R291" i="12" s="1"/>
  <c r="R126" i="12"/>
  <c r="R125" i="12"/>
  <c r="R124" i="12"/>
  <c r="R123" i="12"/>
  <c r="R122" i="12"/>
  <c r="R121" i="12"/>
  <c r="R290" i="12"/>
  <c r="R289" i="12"/>
  <c r="R119" i="12"/>
  <c r="R118" i="12"/>
  <c r="R117" i="12"/>
  <c r="R113" i="12"/>
  <c r="R112" i="12"/>
  <c r="R106" i="12"/>
  <c r="R105" i="12"/>
  <c r="R104" i="12"/>
  <c r="R101" i="12"/>
  <c r="R100" i="12"/>
  <c r="R97" i="12"/>
  <c r="R96" i="12"/>
  <c r="R84" i="12"/>
  <c r="R83" i="12"/>
  <c r="R272" i="12"/>
  <c r="R274" i="12"/>
  <c r="R93" i="12"/>
  <c r="R273" i="12"/>
  <c r="R92" i="12"/>
  <c r="R269" i="12"/>
  <c r="R268" i="12" s="1"/>
  <c r="R267" i="12" s="1"/>
  <c r="R76" i="12"/>
  <c r="R75" i="12"/>
  <c r="R74" i="12"/>
  <c r="R73" i="12"/>
  <c r="R70" i="12"/>
  <c r="R69" i="12"/>
  <c r="R68" i="12"/>
  <c r="R67" i="12"/>
  <c r="R65" i="12"/>
  <c r="R266" i="12"/>
  <c r="R265" i="12"/>
  <c r="R62" i="12"/>
  <c r="R262" i="12"/>
  <c r="R261" i="12"/>
  <c r="R260" i="12"/>
  <c r="R259" i="12"/>
  <c r="R59" i="12"/>
  <c r="R56" i="12"/>
  <c r="R49" i="12"/>
  <c r="R48" i="12"/>
  <c r="R47" i="12"/>
  <c r="R46" i="12"/>
  <c r="R44" i="12"/>
  <c r="R43" i="12"/>
  <c r="R42" i="12"/>
  <c r="R41" i="12"/>
  <c r="R40" i="12"/>
  <c r="R39" i="12"/>
  <c r="R37" i="12"/>
  <c r="R36" i="12"/>
  <c r="R35" i="12"/>
  <c r="R32" i="12"/>
  <c r="T336" i="12"/>
  <c r="T200" i="12"/>
  <c r="T184" i="12"/>
  <c r="T94" i="12"/>
  <c r="T77" i="12"/>
  <c r="T45" i="12"/>
  <c r="S45" i="12"/>
  <c r="T38" i="12"/>
  <c r="S38" i="12"/>
  <c r="T30" i="12"/>
  <c r="S30" i="12"/>
  <c r="T251" i="12" l="1"/>
  <c r="T248" i="12" s="1"/>
  <c r="R99" i="12"/>
  <c r="R271" i="12"/>
  <c r="R258" i="12"/>
  <c r="R264" i="12"/>
  <c r="R333" i="12"/>
  <c r="R288" i="12"/>
  <c r="R327" i="12"/>
  <c r="R235" i="12"/>
  <c r="R241" i="12"/>
  <c r="R103" i="12"/>
  <c r="R300" i="12"/>
  <c r="R111" i="12"/>
  <c r="R120" i="12"/>
  <c r="R116" i="12"/>
  <c r="T326" i="12"/>
  <c r="R38" i="12"/>
  <c r="R45" i="12"/>
  <c r="S29" i="12"/>
  <c r="T29" i="12"/>
  <c r="R270" i="12" l="1"/>
  <c r="R255" i="12"/>
  <c r="R287" i="12"/>
  <c r="R234" i="12"/>
  <c r="R115" i="12"/>
  <c r="X339" i="12"/>
  <c r="Y339" i="12"/>
  <c r="Y338" i="12"/>
  <c r="Y337" i="12"/>
  <c r="X337" i="12"/>
  <c r="W337" i="12" s="1"/>
  <c r="R337" i="12"/>
  <c r="Y244" i="12"/>
  <c r="X241" i="12"/>
  <c r="X234" i="12" s="1"/>
  <c r="Y241" i="12" l="1"/>
  <c r="Y234" i="12" s="1"/>
  <c r="W244" i="12"/>
  <c r="W339" i="12"/>
  <c r="T222" i="12"/>
  <c r="R222" i="12" s="1"/>
  <c r="T221" i="12"/>
  <c r="T233" i="12"/>
  <c r="T232" i="12"/>
  <c r="S321" i="12"/>
  <c r="R321" i="12" s="1"/>
  <c r="S320" i="12"/>
  <c r="Y319" i="12"/>
  <c r="W319" i="12" s="1"/>
  <c r="T230" i="12"/>
  <c r="R230" i="12" s="1"/>
  <c r="T229" i="12"/>
  <c r="R229" i="12" s="1"/>
  <c r="T227" i="12"/>
  <c r="R227" i="12" s="1"/>
  <c r="T228" i="12"/>
  <c r="R228" i="12" s="1"/>
  <c r="R233" i="12" l="1"/>
  <c r="S318" i="12"/>
  <c r="S317" i="12" s="1"/>
  <c r="Y318" i="12"/>
  <c r="Y317" i="12" s="1"/>
  <c r="R232" i="12"/>
  <c r="T231" i="12"/>
  <c r="T220" i="12"/>
  <c r="R320" i="12"/>
  <c r="R221" i="12"/>
  <c r="R220" i="12" s="1"/>
  <c r="T226" i="12"/>
  <c r="R226" i="12" s="1"/>
  <c r="T225" i="12"/>
  <c r="R225" i="12" s="1"/>
  <c r="T224" i="12"/>
  <c r="R231" i="12" l="1"/>
  <c r="R318" i="12"/>
  <c r="R317" i="12" s="1"/>
  <c r="T223" i="12"/>
  <c r="T219" i="12" s="1"/>
  <c r="R224" i="12"/>
  <c r="R223" i="12" s="1"/>
  <c r="R219" i="12" l="1"/>
  <c r="T205" i="12"/>
  <c r="S216" i="12"/>
  <c r="S315" i="12"/>
  <c r="R315" i="12" s="1"/>
  <c r="S314" i="12"/>
  <c r="R314" i="12" s="1"/>
  <c r="S313" i="12"/>
  <c r="R313" i="12" s="1"/>
  <c r="S312" i="12"/>
  <c r="R312" i="12" s="1"/>
  <c r="S310" i="12"/>
  <c r="S309" i="12"/>
  <c r="R309" i="12" s="1"/>
  <c r="S308" i="12"/>
  <c r="S215" i="12"/>
  <c r="R215" i="12" s="1"/>
  <c r="R308" i="12" l="1"/>
  <c r="S306" i="12"/>
  <c r="R310" i="12"/>
  <c r="R218" i="12"/>
  <c r="R216" i="12" s="1"/>
  <c r="N178" i="12"/>
  <c r="N179" i="12"/>
  <c r="S250" i="12" l="1"/>
  <c r="S299" i="12"/>
  <c r="R306" i="12"/>
  <c r="S204" i="12"/>
  <c r="S203" i="12" s="1"/>
  <c r="S202" i="12" s="1"/>
  <c r="R250" i="12" l="1"/>
  <c r="R299" i="12"/>
  <c r="R204" i="12"/>
  <c r="R203" i="12" s="1"/>
  <c r="R202" i="12" s="1"/>
  <c r="Y128" i="12" l="1"/>
  <c r="X127" i="12"/>
  <c r="Y127" i="12" l="1"/>
  <c r="W128" i="12"/>
  <c r="Y120" i="12"/>
  <c r="W120" i="12" l="1"/>
  <c r="Y116" i="12"/>
  <c r="Y115" i="12" s="1"/>
  <c r="W116" i="12" l="1"/>
  <c r="Y289" i="12"/>
  <c r="X289" i="12"/>
  <c r="W289" i="12" s="1"/>
  <c r="Y290" i="12"/>
  <c r="X290" i="12"/>
  <c r="W290" i="12" s="1"/>
  <c r="X115" i="12" l="1"/>
  <c r="X288" i="12"/>
  <c r="Y288" i="12"/>
  <c r="W288" i="12" l="1"/>
  <c r="Y287" i="12"/>
  <c r="X287" i="12" l="1"/>
  <c r="X219" i="12" l="1"/>
  <c r="W220" i="12" l="1"/>
  <c r="G153" i="12" l="1"/>
  <c r="S153" i="12"/>
  <c r="S154" i="12"/>
  <c r="R154" i="12" s="1"/>
  <c r="S165" i="12"/>
  <c r="R165" i="12" s="1"/>
  <c r="G165" i="12"/>
  <c r="S214" i="12"/>
  <c r="S208" i="12"/>
  <c r="R208" i="12" s="1"/>
  <c r="S207" i="12"/>
  <c r="S196" i="12"/>
  <c r="R196" i="12" s="1"/>
  <c r="R190" i="12"/>
  <c r="S189" i="12"/>
  <c r="R189" i="12" s="1"/>
  <c r="R207" i="12" l="1"/>
  <c r="R206" i="12" s="1"/>
  <c r="S206" i="12"/>
  <c r="R214" i="12"/>
  <c r="R210" i="12" s="1"/>
  <c r="S210" i="12"/>
  <c r="S150" i="12"/>
  <c r="R187" i="12"/>
  <c r="R184" i="12" s="1"/>
  <c r="S184" i="12"/>
  <c r="S200" i="12"/>
  <c r="R201" i="12"/>
  <c r="R200" i="12" s="1"/>
  <c r="R153" i="12"/>
  <c r="T174" i="12"/>
  <c r="T172" i="12" s="1"/>
  <c r="T18" i="12" s="1"/>
  <c r="T13" i="12" s="1"/>
  <c r="T160" i="12"/>
  <c r="R160" i="12" s="1"/>
  <c r="T158" i="12"/>
  <c r="R158" i="12" s="1"/>
  <c r="T157" i="12"/>
  <c r="R157" i="12" s="1"/>
  <c r="S139" i="12"/>
  <c r="R139" i="12" s="1"/>
  <c r="S131" i="12"/>
  <c r="S135" i="12"/>
  <c r="R135" i="12" s="1"/>
  <c r="S95" i="12"/>
  <c r="S91" i="12"/>
  <c r="R91" i="12" s="1"/>
  <c r="S90" i="12"/>
  <c r="R90" i="12" s="1"/>
  <c r="S89" i="12"/>
  <c r="R89" i="12" s="1"/>
  <c r="S88" i="12"/>
  <c r="R88" i="12" s="1"/>
  <c r="S87" i="12"/>
  <c r="R87" i="12" s="1"/>
  <c r="S86" i="12"/>
  <c r="S82" i="12"/>
  <c r="R82" i="12" s="1"/>
  <c r="S81" i="12"/>
  <c r="S78" i="12"/>
  <c r="S72" i="12"/>
  <c r="S71" i="12" s="1"/>
  <c r="S66" i="12"/>
  <c r="S64" i="12" s="1"/>
  <c r="R31" i="12"/>
  <c r="R30" i="12" s="1"/>
  <c r="R29" i="12" s="1"/>
  <c r="S61" i="12"/>
  <c r="S60" i="12" s="1"/>
  <c r="S58" i="12"/>
  <c r="R58" i="12" s="1"/>
  <c r="S57" i="12"/>
  <c r="S85" i="12" l="1"/>
  <c r="S55" i="12"/>
  <c r="S50" i="12" s="1"/>
  <c r="T150" i="12"/>
  <c r="T129" i="12" s="1"/>
  <c r="S130" i="12"/>
  <c r="S129" i="12" s="1"/>
  <c r="S80" i="12"/>
  <c r="R174" i="12"/>
  <c r="R172" i="12" s="1"/>
  <c r="S77" i="12"/>
  <c r="R78" i="12"/>
  <c r="R77" i="12" s="1"/>
  <c r="R81" i="12"/>
  <c r="R80" i="12" s="1"/>
  <c r="R86" i="12"/>
  <c r="R85" i="12" s="1"/>
  <c r="S176" i="12"/>
  <c r="S175" i="12" s="1"/>
  <c r="S94" i="12"/>
  <c r="R95" i="12"/>
  <c r="R94" i="12" s="1"/>
  <c r="R57" i="12"/>
  <c r="R55" i="12" s="1"/>
  <c r="R61" i="12"/>
  <c r="R60" i="12" s="1"/>
  <c r="R131" i="12"/>
  <c r="R130" i="12" s="1"/>
  <c r="R66" i="12"/>
  <c r="R64" i="12" s="1"/>
  <c r="R151" i="12"/>
  <c r="R150" i="12" s="1"/>
  <c r="R72" i="12"/>
  <c r="R71" i="12" s="1"/>
  <c r="R28" i="12"/>
  <c r="R27" i="12"/>
  <c r="R24" i="12"/>
  <c r="R23" i="12"/>
  <c r="R22" i="12"/>
  <c r="R21" i="12"/>
  <c r="R18" i="12" l="1"/>
  <c r="S18" i="12"/>
  <c r="R20" i="12"/>
  <c r="R129" i="12"/>
  <c r="R50" i="12"/>
  <c r="R26" i="12"/>
  <c r="R19" i="12" l="1"/>
  <c r="R14" i="12" s="1"/>
  <c r="AD70" i="12"/>
  <c r="AD267" i="12" l="1"/>
  <c r="AC154" i="12"/>
  <c r="AC171" i="12"/>
  <c r="AC170" i="12"/>
  <c r="AC169" i="12"/>
  <c r="AC168" i="12"/>
  <c r="AC167" i="12"/>
  <c r="AC166" i="12"/>
  <c r="AC165" i="12"/>
  <c r="AC164" i="12"/>
  <c r="AC162" i="12"/>
  <c r="AC161" i="12"/>
  <c r="AC159" i="12"/>
  <c r="AC222" i="12" l="1"/>
  <c r="AB222" i="12"/>
  <c r="AC221" i="12"/>
  <c r="AB221" i="12"/>
  <c r="AB220" i="12" l="1"/>
  <c r="AC220" i="12"/>
  <c r="AA221" i="12"/>
  <c r="AA222" i="12"/>
  <c r="AA220" i="12" l="1"/>
  <c r="W80" i="12" l="1"/>
  <c r="W270" i="12" l="1"/>
  <c r="W51" i="12"/>
  <c r="AB169" i="12" l="1"/>
  <c r="AB167" i="12"/>
  <c r="AB166" i="12"/>
  <c r="AB165" i="12"/>
  <c r="AB164" i="12"/>
  <c r="AB163" i="12"/>
  <c r="AB162" i="12"/>
  <c r="AB161" i="12"/>
  <c r="AB160" i="12"/>
  <c r="AB159" i="12"/>
  <c r="AB158" i="12"/>
  <c r="AB157" i="12"/>
  <c r="AC156" i="12"/>
  <c r="AB156" i="12"/>
  <c r="AC155" i="12"/>
  <c r="AB155" i="12"/>
  <c r="AB154" i="12"/>
  <c r="AB153" i="12"/>
  <c r="AC152" i="12"/>
  <c r="AB152" i="12"/>
  <c r="AB151" i="12"/>
  <c r="AC158" i="12"/>
  <c r="AC157" i="12"/>
  <c r="AC153" i="12"/>
  <c r="Y150" i="12" l="1"/>
  <c r="AB130" i="12"/>
  <c r="AC130" i="12"/>
  <c r="AB150" i="12"/>
  <c r="AA171" i="12"/>
  <c r="AC160" i="12"/>
  <c r="AA160" i="12" s="1"/>
  <c r="AA139" i="12"/>
  <c r="AC151" i="12"/>
  <c r="AC163" i="12"/>
  <c r="AA163" i="12" s="1"/>
  <c r="AA132" i="12"/>
  <c r="AA164" i="12"/>
  <c r="AA131" i="12"/>
  <c r="AA140" i="12"/>
  <c r="AA137" i="12"/>
  <c r="AA138" i="12"/>
  <c r="AA146" i="12"/>
  <c r="AA154" i="12"/>
  <c r="AA157" i="12"/>
  <c r="AA161" i="12"/>
  <c r="AA166" i="12"/>
  <c r="AA169" i="12"/>
  <c r="AA134" i="12"/>
  <c r="AA135" i="12"/>
  <c r="AA142" i="12"/>
  <c r="AA143" i="12"/>
  <c r="AA144" i="12"/>
  <c r="AA147" i="12"/>
  <c r="AA148" i="12"/>
  <c r="AA149" i="12"/>
  <c r="AA152" i="12"/>
  <c r="AA153" i="12"/>
  <c r="AA155" i="12"/>
  <c r="AA156" i="12"/>
  <c r="AA158" i="12"/>
  <c r="AA162" i="12"/>
  <c r="AA167" i="12"/>
  <c r="AA170" i="12"/>
  <c r="AA133" i="12"/>
  <c r="AA136" i="12"/>
  <c r="AA141" i="12"/>
  <c r="AA145" i="12"/>
  <c r="AA159" i="12"/>
  <c r="AA165" i="12"/>
  <c r="AA168" i="12" l="1"/>
  <c r="AA130" i="12"/>
  <c r="AA151" i="12"/>
  <c r="AC150" i="12"/>
  <c r="W150" i="12"/>
  <c r="AA150" i="12" l="1"/>
  <c r="O199" i="12"/>
  <c r="N199" i="12"/>
  <c r="O198" i="12"/>
  <c r="N198" i="12"/>
  <c r="O197" i="12"/>
  <c r="N197" i="12"/>
  <c r="AA196" i="12"/>
  <c r="O196" i="12"/>
  <c r="N196" i="12"/>
  <c r="N194" i="12"/>
  <c r="O193" i="12"/>
  <c r="N193" i="12"/>
  <c r="O192" i="12"/>
  <c r="N191" i="12"/>
  <c r="O190" i="12"/>
  <c r="N190" i="12"/>
  <c r="O189" i="12"/>
  <c r="N189" i="12"/>
  <c r="O188" i="12"/>
  <c r="N188" i="12"/>
  <c r="O187" i="12"/>
  <c r="N187" i="12"/>
  <c r="O186" i="12"/>
  <c r="N186" i="12"/>
  <c r="O185" i="12"/>
  <c r="N185" i="12"/>
  <c r="AC183" i="12"/>
  <c r="AB183" i="12"/>
  <c r="O183" i="12"/>
  <c r="O182" i="12"/>
  <c r="N182" i="12"/>
  <c r="O181" i="12"/>
  <c r="N181" i="12"/>
  <c r="AC179" i="12"/>
  <c r="AA179" i="12" s="1"/>
  <c r="O179" i="12"/>
  <c r="AC178" i="12"/>
  <c r="AA178" i="12" s="1"/>
  <c r="O178" i="12"/>
  <c r="AA183" i="12" l="1"/>
  <c r="AA185" i="12"/>
  <c r="AA187" i="12"/>
  <c r="AA194" i="12"/>
  <c r="AA195" i="12"/>
  <c r="AA199" i="12"/>
  <c r="AA191" i="12"/>
  <c r="AA189" i="12"/>
  <c r="AA192" i="12"/>
  <c r="AA186" i="12"/>
  <c r="AA188" i="12"/>
  <c r="AA190" i="12"/>
  <c r="AA193" i="12"/>
  <c r="AD220" i="12" l="1"/>
  <c r="D129" i="12" l="1"/>
  <c r="E129" i="12"/>
  <c r="H129" i="12"/>
  <c r="I129" i="12"/>
  <c r="J129" i="12"/>
  <c r="K129" i="12"/>
  <c r="M129" i="12"/>
  <c r="N129" i="12"/>
  <c r="O129" i="12"/>
  <c r="X129" i="12"/>
  <c r="Z129" i="12"/>
  <c r="AG129" i="12"/>
  <c r="D336" i="12" l="1"/>
  <c r="E336" i="12"/>
  <c r="F336" i="12"/>
  <c r="F248" i="12" s="1"/>
  <c r="H336" i="12"/>
  <c r="I336" i="12"/>
  <c r="J336" i="12"/>
  <c r="K336" i="12"/>
  <c r="M336" i="12"/>
  <c r="N336" i="12"/>
  <c r="O336" i="12"/>
  <c r="Y336" i="12"/>
  <c r="Z336" i="12"/>
  <c r="AD336" i="12"/>
  <c r="AE336" i="12"/>
  <c r="AF336" i="12"/>
  <c r="AG336" i="12"/>
  <c r="C336" i="12"/>
  <c r="C251" i="12" s="1"/>
  <c r="G338" i="12"/>
  <c r="G337" i="12"/>
  <c r="G339" i="12"/>
  <c r="G335" i="12"/>
  <c r="AD327" i="12"/>
  <c r="AD249" i="12" s="1"/>
  <c r="K251" i="12" l="1"/>
  <c r="K248" i="12" s="1"/>
  <c r="J251" i="12"/>
  <c r="J248" i="12" s="1"/>
  <c r="AG251" i="12"/>
  <c r="AG248" i="12" s="1"/>
  <c r="H251" i="12"/>
  <c r="H248" i="12" s="1"/>
  <c r="AE251" i="12"/>
  <c r="AE248" i="12" s="1"/>
  <c r="E251" i="12"/>
  <c r="E248" i="12" s="1"/>
  <c r="O251" i="12"/>
  <c r="O248" i="12" s="1"/>
  <c r="AF251" i="12"/>
  <c r="AF248" i="12" s="1"/>
  <c r="Z251" i="12"/>
  <c r="Z248" i="12" s="1"/>
  <c r="D251" i="12"/>
  <c r="D248" i="12" s="1"/>
  <c r="I251" i="12"/>
  <c r="I248" i="12" s="1"/>
  <c r="N251" i="12"/>
  <c r="N248" i="12" s="1"/>
  <c r="M251" i="12"/>
  <c r="M248" i="12" s="1"/>
  <c r="Y326" i="12"/>
  <c r="AD326" i="12"/>
  <c r="F326" i="12"/>
  <c r="O326" i="12"/>
  <c r="AF326" i="12"/>
  <c r="C326" i="12"/>
  <c r="C248" i="12"/>
  <c r="Z326" i="12"/>
  <c r="E326" i="12"/>
  <c r="K326" i="12"/>
  <c r="J326" i="12"/>
  <c r="I326" i="12"/>
  <c r="H326" i="12"/>
  <c r="D326" i="12"/>
  <c r="AG326" i="12"/>
  <c r="N326" i="12"/>
  <c r="AE326" i="12"/>
  <c r="M326" i="12"/>
  <c r="G336" i="12"/>
  <c r="AC336" i="12"/>
  <c r="AB336" i="12"/>
  <c r="AA335" i="12"/>
  <c r="AA338" i="12"/>
  <c r="AA330" i="12"/>
  <c r="AA339" i="12"/>
  <c r="AA337" i="12"/>
  <c r="AA336" i="12" l="1"/>
  <c r="G332" i="12" l="1"/>
  <c r="G331" i="12"/>
  <c r="G330" i="12"/>
  <c r="AC323" i="12"/>
  <c r="G323" i="12"/>
  <c r="G322" i="12"/>
  <c r="AC324" i="12"/>
  <c r="AA322" i="12" l="1"/>
  <c r="AA323" i="12"/>
  <c r="AA325" i="12"/>
  <c r="AA324" i="12" s="1"/>
  <c r="W324" i="12" l="1"/>
  <c r="AC314" i="12"/>
  <c r="AC315" i="12"/>
  <c r="AC316" i="12"/>
  <c r="AB311" i="12"/>
  <c r="AI311" i="12" s="1"/>
  <c r="AD311" i="12" s="1"/>
  <c r="AC311" i="12"/>
  <c r="AC312" i="12"/>
  <c r="AB313" i="12"/>
  <c r="AI313" i="12" s="1"/>
  <c r="AD313" i="12" s="1"/>
  <c r="AC313" i="12"/>
  <c r="X305" i="12"/>
  <c r="X300" i="12" l="1"/>
  <c r="X249" i="12" s="1"/>
  <c r="W305" i="12"/>
  <c r="AA312" i="12"/>
  <c r="AA314" i="12"/>
  <c r="AA313" i="12"/>
  <c r="AA311" i="12"/>
  <c r="AA315" i="12"/>
  <c r="AA316" i="12"/>
  <c r="X299" i="12" l="1"/>
  <c r="AC304" i="12"/>
  <c r="G294" i="12"/>
  <c r="G293" i="12" s="1"/>
  <c r="W287" i="12" l="1"/>
  <c r="AA304" i="12"/>
  <c r="AA305" i="12"/>
  <c r="AA294" i="12" l="1"/>
  <c r="AA293" i="12" s="1"/>
  <c r="AA292" i="12"/>
  <c r="AA291" i="12" s="1"/>
  <c r="Y285" i="12"/>
  <c r="G286" i="12"/>
  <c r="G285" i="12" s="1"/>
  <c r="AC283" i="12"/>
  <c r="AC282" i="12"/>
  <c r="AD280" i="12"/>
  <c r="G284" i="12"/>
  <c r="G283" i="12"/>
  <c r="C50" i="12"/>
  <c r="AC268" i="12"/>
  <c r="AC267" i="12" s="1"/>
  <c r="W268" i="12"/>
  <c r="W267" i="12" s="1"/>
  <c r="G269" i="12"/>
  <c r="G268" i="12" s="1"/>
  <c r="G267" i="12" s="1"/>
  <c r="G360" i="12"/>
  <c r="G358" i="12" s="1"/>
  <c r="G357" i="12" s="1"/>
  <c r="G359" i="12"/>
  <c r="M358" i="12"/>
  <c r="M357" i="12" s="1"/>
  <c r="K358" i="12"/>
  <c r="K357" i="12" s="1"/>
  <c r="J358" i="12"/>
  <c r="J357" i="12" s="1"/>
  <c r="I358" i="12"/>
  <c r="I357" i="12" s="1"/>
  <c r="H358" i="12"/>
  <c r="H357" i="12" s="1"/>
  <c r="F358" i="12"/>
  <c r="F357" i="12" s="1"/>
  <c r="E358" i="12"/>
  <c r="E357" i="12" s="1"/>
  <c r="D358" i="12"/>
  <c r="D357" i="12" s="1"/>
  <c r="C358" i="12"/>
  <c r="C357" i="12" s="1"/>
  <c r="G356" i="12"/>
  <c r="G355" i="12" s="1"/>
  <c r="M355" i="12"/>
  <c r="K355" i="12"/>
  <c r="J355" i="12"/>
  <c r="I355" i="12"/>
  <c r="H355" i="12"/>
  <c r="F355" i="12"/>
  <c r="E355" i="12"/>
  <c r="D355" i="12"/>
  <c r="C355" i="12"/>
  <c r="G354" i="12"/>
  <c r="G353" i="12"/>
  <c r="G351" i="12"/>
  <c r="G350" i="12"/>
  <c r="M349" i="12"/>
  <c r="K349" i="12"/>
  <c r="J349" i="12"/>
  <c r="I349" i="12"/>
  <c r="H349" i="12"/>
  <c r="F349" i="12"/>
  <c r="E349" i="12"/>
  <c r="D349" i="12"/>
  <c r="C349" i="12"/>
  <c r="L348" i="12"/>
  <c r="G347" i="12"/>
  <c r="G346" i="12" s="1"/>
  <c r="M346" i="12"/>
  <c r="M345" i="12" s="1"/>
  <c r="K346" i="12"/>
  <c r="J346" i="12"/>
  <c r="J345" i="12" s="1"/>
  <c r="I346" i="12"/>
  <c r="H346" i="12"/>
  <c r="H345" i="12" s="1"/>
  <c r="F346" i="12"/>
  <c r="F345" i="12" s="1"/>
  <c r="E346" i="12"/>
  <c r="D346" i="12"/>
  <c r="D345" i="12" s="1"/>
  <c r="C346" i="12"/>
  <c r="C345" i="12" s="1"/>
  <c r="L345" i="12"/>
  <c r="L342" i="12"/>
  <c r="L12" i="12" s="1"/>
  <c r="L341" i="12"/>
  <c r="L11" i="12" s="1"/>
  <c r="G325" i="12"/>
  <c r="G324" i="12" s="1"/>
  <c r="G316" i="12"/>
  <c r="G315" i="12"/>
  <c r="G314" i="12"/>
  <c r="G313" i="12"/>
  <c r="G312" i="12"/>
  <c r="G311" i="12"/>
  <c r="G305" i="12"/>
  <c r="G292" i="12"/>
  <c r="G291" i="12" s="1"/>
  <c r="W333" i="12"/>
  <c r="G334" i="12"/>
  <c r="G333" i="12" s="1"/>
  <c r="AC244" i="12"/>
  <c r="AB244" i="12"/>
  <c r="G244" i="12"/>
  <c r="AC243" i="12"/>
  <c r="AB243" i="12"/>
  <c r="G243" i="12"/>
  <c r="AC247" i="12"/>
  <c r="AB247" i="12"/>
  <c r="G247" i="12"/>
  <c r="AB242" i="12"/>
  <c r="G242" i="12"/>
  <c r="G329" i="12"/>
  <c r="AB327" i="12"/>
  <c r="W327" i="12"/>
  <c r="G328" i="12"/>
  <c r="G240" i="12"/>
  <c r="G239" i="12"/>
  <c r="G238" i="12"/>
  <c r="G237" i="12"/>
  <c r="G236" i="12"/>
  <c r="G233" i="12"/>
  <c r="G232" i="12"/>
  <c r="G321" i="12"/>
  <c r="G320" i="12"/>
  <c r="G319" i="12"/>
  <c r="AC230" i="12"/>
  <c r="AB230" i="12"/>
  <c r="G230" i="12"/>
  <c r="AC229" i="12"/>
  <c r="AB229" i="12"/>
  <c r="G229" i="12"/>
  <c r="AC228" i="12"/>
  <c r="AB228" i="12"/>
  <c r="G228" i="12"/>
  <c r="AC227" i="12"/>
  <c r="AB227" i="12"/>
  <c r="G227" i="12"/>
  <c r="AB226" i="12"/>
  <c r="G226" i="12"/>
  <c r="AB225" i="12"/>
  <c r="G225" i="12"/>
  <c r="AC224" i="12"/>
  <c r="AB224" i="12"/>
  <c r="G224" i="12"/>
  <c r="G222" i="12"/>
  <c r="G221" i="12"/>
  <c r="C220" i="12"/>
  <c r="G218" i="12"/>
  <c r="AC217" i="12"/>
  <c r="AC216" i="12" s="1"/>
  <c r="G217" i="12"/>
  <c r="AC310" i="12"/>
  <c r="W306" i="12"/>
  <c r="G310" i="12"/>
  <c r="AC309" i="12"/>
  <c r="AB309" i="12"/>
  <c r="AI309" i="12" s="1"/>
  <c r="AD309" i="12" s="1"/>
  <c r="G309" i="12"/>
  <c r="AC308" i="12"/>
  <c r="G308" i="12"/>
  <c r="AC307" i="12"/>
  <c r="AB307" i="12"/>
  <c r="AI307" i="12" s="1"/>
  <c r="G307" i="12"/>
  <c r="G215" i="12"/>
  <c r="G214" i="12"/>
  <c r="G213" i="12"/>
  <c r="G212" i="12"/>
  <c r="G211" i="12"/>
  <c r="AC303" i="12"/>
  <c r="W300" i="12"/>
  <c r="G303" i="12"/>
  <c r="AC209" i="12"/>
  <c r="G209" i="12"/>
  <c r="AC302" i="12"/>
  <c r="AC301" i="12"/>
  <c r="AC208" i="12"/>
  <c r="AB208" i="12"/>
  <c r="G208" i="12"/>
  <c r="AD206" i="12"/>
  <c r="AC207" i="12"/>
  <c r="AB207" i="12"/>
  <c r="G207" i="12"/>
  <c r="AD203" i="12"/>
  <c r="AD202" i="12" s="1"/>
  <c r="AA204" i="12"/>
  <c r="AA203" i="12" s="1"/>
  <c r="AA202" i="12" s="1"/>
  <c r="W203" i="12"/>
  <c r="W202" i="12" s="1"/>
  <c r="AC201" i="12"/>
  <c r="AC200" i="12" s="1"/>
  <c r="AB201" i="12"/>
  <c r="W200" i="12"/>
  <c r="O201" i="12"/>
  <c r="G201" i="12"/>
  <c r="G200" i="12" s="1"/>
  <c r="AG200" i="12"/>
  <c r="AF200" i="12"/>
  <c r="AE200" i="12"/>
  <c r="Z200" i="12"/>
  <c r="Y200" i="12"/>
  <c r="X200" i="12"/>
  <c r="N200" i="12"/>
  <c r="M200" i="12"/>
  <c r="K200" i="12"/>
  <c r="J200" i="12"/>
  <c r="I200" i="12"/>
  <c r="H200" i="12"/>
  <c r="F200" i="12"/>
  <c r="E200" i="12"/>
  <c r="D200" i="12"/>
  <c r="C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AG184" i="12"/>
  <c r="AF184" i="12"/>
  <c r="AE184" i="12"/>
  <c r="Z184" i="12"/>
  <c r="Y184" i="12"/>
  <c r="M184" i="12"/>
  <c r="K184" i="12"/>
  <c r="J184" i="12"/>
  <c r="I184" i="12"/>
  <c r="H184" i="12"/>
  <c r="F184" i="12"/>
  <c r="E184" i="12"/>
  <c r="D184" i="12"/>
  <c r="C184" i="12"/>
  <c r="G183" i="12"/>
  <c r="G182" i="12"/>
  <c r="G181" i="12"/>
  <c r="G180" i="12"/>
  <c r="G179" i="12"/>
  <c r="G178" i="12"/>
  <c r="G177" i="12"/>
  <c r="AG176" i="12"/>
  <c r="AF176" i="12"/>
  <c r="AE176" i="12"/>
  <c r="Z176" i="12"/>
  <c r="Y176" i="12"/>
  <c r="M176" i="12"/>
  <c r="K176" i="12"/>
  <c r="J176" i="12"/>
  <c r="I176" i="12"/>
  <c r="H176" i="12"/>
  <c r="F176" i="12"/>
  <c r="E176" i="12"/>
  <c r="D176" i="12"/>
  <c r="C176" i="12"/>
  <c r="G174" i="12"/>
  <c r="G173" i="12"/>
  <c r="F171" i="12"/>
  <c r="F170" i="12"/>
  <c r="F169" i="12"/>
  <c r="F168" i="12"/>
  <c r="F167" i="12"/>
  <c r="G166" i="12"/>
  <c r="G164" i="12"/>
  <c r="G163" i="12"/>
  <c r="G162" i="12"/>
  <c r="G161" i="12"/>
  <c r="G160" i="12"/>
  <c r="G159" i="12"/>
  <c r="G158" i="12"/>
  <c r="G157" i="12"/>
  <c r="G156" i="12"/>
  <c r="G155" i="12"/>
  <c r="G154" i="12"/>
  <c r="G152" i="12"/>
  <c r="G151" i="12"/>
  <c r="G149" i="12"/>
  <c r="G148" i="12"/>
  <c r="G147" i="12"/>
  <c r="G146" i="12"/>
  <c r="G145" i="12"/>
  <c r="G144" i="12"/>
  <c r="G143" i="12"/>
  <c r="AE130" i="12"/>
  <c r="G142" i="12"/>
  <c r="G141" i="12"/>
  <c r="G140" i="12"/>
  <c r="G138" i="12"/>
  <c r="G137" i="12"/>
  <c r="G136" i="12"/>
  <c r="Y130" i="12"/>
  <c r="G134" i="12"/>
  <c r="G133" i="12"/>
  <c r="G132" i="12"/>
  <c r="C130" i="12"/>
  <c r="C129" i="12" s="1"/>
  <c r="AD127" i="12"/>
  <c r="G128" i="12"/>
  <c r="G127" i="12" s="1"/>
  <c r="G126" i="12"/>
  <c r="G125" i="12"/>
  <c r="G124" i="12"/>
  <c r="G123" i="12"/>
  <c r="G122" i="12"/>
  <c r="G121" i="12"/>
  <c r="G290" i="12"/>
  <c r="G289" i="12"/>
  <c r="G119" i="12"/>
  <c r="G118" i="12"/>
  <c r="G117" i="12"/>
  <c r="G114" i="12"/>
  <c r="G113" i="12"/>
  <c r="G112" i="12"/>
  <c r="G282" i="12"/>
  <c r="Y281" i="12"/>
  <c r="W281" i="12" s="1"/>
  <c r="G281" i="12"/>
  <c r="G110" i="12"/>
  <c r="G109" i="12"/>
  <c r="G108" i="12"/>
  <c r="G107" i="12"/>
  <c r="G106" i="12"/>
  <c r="G105" i="12"/>
  <c r="G104" i="12"/>
  <c r="AC276" i="12"/>
  <c r="G277" i="12"/>
  <c r="Y278" i="12"/>
  <c r="G278" i="12"/>
  <c r="AB102" i="12"/>
  <c r="AC102" i="12"/>
  <c r="G102" i="12"/>
  <c r="G279" i="12"/>
  <c r="AB101" i="12"/>
  <c r="G101" i="12"/>
  <c r="AC100" i="12"/>
  <c r="AB100" i="12"/>
  <c r="G100" i="12"/>
  <c r="G97" i="12"/>
  <c r="G96" i="12"/>
  <c r="G95" i="12"/>
  <c r="AG94" i="12"/>
  <c r="AE94" i="12"/>
  <c r="Z94" i="12"/>
  <c r="Y94" i="12"/>
  <c r="O94" i="12"/>
  <c r="N94" i="12"/>
  <c r="M94" i="12"/>
  <c r="K94" i="12"/>
  <c r="J94" i="12"/>
  <c r="I94" i="12"/>
  <c r="H94" i="12"/>
  <c r="F94" i="12"/>
  <c r="E94" i="12"/>
  <c r="D94" i="12"/>
  <c r="C94" i="12"/>
  <c r="G272" i="12"/>
  <c r="AA274" i="12"/>
  <c r="G274" i="12"/>
  <c r="AC93" i="12"/>
  <c r="AC85" i="12" s="1"/>
  <c r="G93" i="12"/>
  <c r="G273" i="12"/>
  <c r="G92" i="12"/>
  <c r="G91" i="12"/>
  <c r="G90" i="12"/>
  <c r="G89" i="12"/>
  <c r="G88" i="12"/>
  <c r="G87" i="12"/>
  <c r="G86" i="12"/>
  <c r="G84" i="12"/>
  <c r="G83" i="12"/>
  <c r="G82" i="12"/>
  <c r="G81" i="12"/>
  <c r="C80" i="12"/>
  <c r="AD77" i="12"/>
  <c r="AC77" i="12"/>
  <c r="W77" i="12"/>
  <c r="G78" i="12"/>
  <c r="G77" i="12" s="1"/>
  <c r="AG77" i="12"/>
  <c r="AF77" i="12"/>
  <c r="AE77" i="12"/>
  <c r="Z77" i="12"/>
  <c r="Y77" i="12"/>
  <c r="O77" i="12"/>
  <c r="N77" i="12"/>
  <c r="M77" i="12"/>
  <c r="K77" i="12"/>
  <c r="J77" i="12"/>
  <c r="I77" i="12"/>
  <c r="H77" i="12"/>
  <c r="F77" i="12"/>
  <c r="E77" i="12"/>
  <c r="D77" i="12"/>
  <c r="C77" i="12"/>
  <c r="G76" i="12"/>
  <c r="G75" i="12"/>
  <c r="G74" i="12"/>
  <c r="G73" i="12"/>
  <c r="G72" i="12"/>
  <c r="G70" i="12"/>
  <c r="G69" i="12"/>
  <c r="G68" i="12"/>
  <c r="G67" i="12"/>
  <c r="G66" i="12"/>
  <c r="G65" i="12"/>
  <c r="G266" i="12"/>
  <c r="G265" i="12"/>
  <c r="G62" i="12"/>
  <c r="G61" i="12"/>
  <c r="G261" i="12"/>
  <c r="G260" i="12"/>
  <c r="G259" i="12"/>
  <c r="W55" i="12"/>
  <c r="G59" i="12"/>
  <c r="G58" i="12"/>
  <c r="G57" i="12"/>
  <c r="G56" i="12"/>
  <c r="G54" i="12"/>
  <c r="G53" i="12"/>
  <c r="G52" i="12"/>
  <c r="G49" i="12"/>
  <c r="G48" i="12"/>
  <c r="G47" i="12"/>
  <c r="G46" i="12"/>
  <c r="AG45" i="12"/>
  <c r="AF45" i="12"/>
  <c r="AE45" i="12"/>
  <c r="Z45" i="12"/>
  <c r="Y45" i="12"/>
  <c r="W45" i="12"/>
  <c r="O45" i="12"/>
  <c r="N45" i="12"/>
  <c r="M45" i="12"/>
  <c r="K45" i="12"/>
  <c r="J45" i="12"/>
  <c r="I45" i="12"/>
  <c r="H45" i="12"/>
  <c r="F45" i="12"/>
  <c r="E45" i="12"/>
  <c r="D45" i="12"/>
  <c r="C45" i="12"/>
  <c r="AC44" i="12"/>
  <c r="AB44" i="12"/>
  <c r="G44" i="12"/>
  <c r="AC43" i="12"/>
  <c r="AB43" i="12"/>
  <c r="G43" i="12"/>
  <c r="AC42" i="12"/>
  <c r="AB42" i="12"/>
  <c r="G42" i="12"/>
  <c r="AC41" i="12"/>
  <c r="AB41" i="12"/>
  <c r="G41" i="12"/>
  <c r="AC40" i="12"/>
  <c r="AB40" i="12"/>
  <c r="G40" i="12"/>
  <c r="AC39" i="12"/>
  <c r="AB39" i="12"/>
  <c r="G39" i="12"/>
  <c r="AG38" i="12"/>
  <c r="AF38" i="12"/>
  <c r="AE38" i="12"/>
  <c r="Z38" i="12"/>
  <c r="Y38" i="12"/>
  <c r="W38" i="12"/>
  <c r="O38" i="12"/>
  <c r="N38" i="12"/>
  <c r="M38" i="12"/>
  <c r="K38" i="12"/>
  <c r="J38" i="12"/>
  <c r="I38" i="12"/>
  <c r="H38" i="12"/>
  <c r="F38" i="12"/>
  <c r="E38" i="12"/>
  <c r="D38" i="12"/>
  <c r="C38" i="12"/>
  <c r="AC37" i="12"/>
  <c r="AB37" i="12"/>
  <c r="G37" i="12"/>
  <c r="AC36" i="12"/>
  <c r="AB36" i="12"/>
  <c r="G36" i="12"/>
  <c r="AC35" i="12"/>
  <c r="AB35" i="12"/>
  <c r="G35" i="12"/>
  <c r="AC34" i="12"/>
  <c r="AB34" i="12"/>
  <c r="G34" i="12"/>
  <c r="AC33" i="12"/>
  <c r="AB33" i="12"/>
  <c r="G33" i="12"/>
  <c r="AC32" i="12"/>
  <c r="AB32" i="12"/>
  <c r="G32" i="12"/>
  <c r="AC31" i="12"/>
  <c r="AB31" i="12"/>
  <c r="G31" i="12"/>
  <c r="AG30" i="12"/>
  <c r="AF30" i="12"/>
  <c r="AE30" i="12"/>
  <c r="Z30" i="12"/>
  <c r="Y30" i="12"/>
  <c r="W30" i="12"/>
  <c r="P30" i="12"/>
  <c r="P16" i="12" s="1"/>
  <c r="P11" i="12" s="1"/>
  <c r="O30" i="12"/>
  <c r="N30" i="12"/>
  <c r="M30" i="12"/>
  <c r="K30" i="12"/>
  <c r="J30" i="12"/>
  <c r="I30" i="12"/>
  <c r="H30" i="12"/>
  <c r="E30" i="12"/>
  <c r="D30" i="12"/>
  <c r="AC28" i="12"/>
  <c r="AC26" i="12" s="1"/>
  <c r="W28" i="12"/>
  <c r="G28" i="12"/>
  <c r="AB27" i="12"/>
  <c r="AB26" i="12" s="1"/>
  <c r="W27" i="12"/>
  <c r="G27" i="12"/>
  <c r="AC25" i="12"/>
  <c r="W25" i="12"/>
  <c r="AC24" i="12"/>
  <c r="W24" i="12"/>
  <c r="G24" i="12"/>
  <c r="AA23" i="12"/>
  <c r="W23" i="12"/>
  <c r="G23" i="12"/>
  <c r="AA22" i="12"/>
  <c r="G22" i="12"/>
  <c r="AB21" i="12"/>
  <c r="AB20" i="12" s="1"/>
  <c r="W21" i="12"/>
  <c r="G21" i="12"/>
  <c r="G64" i="12" l="1"/>
  <c r="W299" i="12"/>
  <c r="G85" i="12"/>
  <c r="G99" i="12"/>
  <c r="AB99" i="12"/>
  <c r="AB85" i="12"/>
  <c r="W278" i="12"/>
  <c r="W276" i="12" s="1"/>
  <c r="W249" i="12" s="1"/>
  <c r="Y276" i="12"/>
  <c r="Y249" i="12" s="1"/>
  <c r="G276" i="12"/>
  <c r="G271" i="12"/>
  <c r="F79" i="12"/>
  <c r="G327" i="12"/>
  <c r="G326" i="12" s="1"/>
  <c r="L10" i="12"/>
  <c r="C29" i="12"/>
  <c r="G216" i="12"/>
  <c r="G258" i="12"/>
  <c r="G172" i="12"/>
  <c r="W258" i="12"/>
  <c r="C18" i="12"/>
  <c r="AA93" i="12"/>
  <c r="AA85" i="12" s="1"/>
  <c r="G55" i="12"/>
  <c r="AB19" i="12"/>
  <c r="AB14" i="12" s="1"/>
  <c r="G306" i="12"/>
  <c r="G318" i="12"/>
  <c r="G317" i="12" s="1"/>
  <c r="AD307" i="12"/>
  <c r="AD306" i="12" s="1"/>
  <c r="AD299" i="12" s="1"/>
  <c r="AI306" i="12"/>
  <c r="AI299" i="12" s="1"/>
  <c r="G241" i="12"/>
  <c r="W235" i="12"/>
  <c r="AB172" i="12"/>
  <c r="AB129" i="12" s="1"/>
  <c r="AC306" i="12"/>
  <c r="W318" i="12"/>
  <c r="W317" i="12" s="1"/>
  <c r="AC327" i="12"/>
  <c r="AC326" i="12" s="1"/>
  <c r="W206" i="12"/>
  <c r="AC318" i="12"/>
  <c r="AC317" i="12" s="1"/>
  <c r="W241" i="12"/>
  <c r="AB206" i="12"/>
  <c r="AB306" i="12"/>
  <c r="G206" i="12"/>
  <c r="AB318" i="12"/>
  <c r="AC206" i="12"/>
  <c r="AE18" i="12"/>
  <c r="AE13" i="12" s="1"/>
  <c r="P18" i="12"/>
  <c r="H18" i="12"/>
  <c r="AG18" i="12"/>
  <c r="K18" i="12"/>
  <c r="M18" i="12"/>
  <c r="I18" i="12"/>
  <c r="J18" i="12"/>
  <c r="D18" i="12"/>
  <c r="D13" i="12" s="1"/>
  <c r="Y18" i="12"/>
  <c r="AE129" i="12"/>
  <c r="F18" i="12"/>
  <c r="F13" i="12" s="1"/>
  <c r="N18" i="12"/>
  <c r="N13" i="12" s="1"/>
  <c r="E18" i="12"/>
  <c r="E13" i="12" s="1"/>
  <c r="Z18" i="12"/>
  <c r="AD235" i="12"/>
  <c r="AD241" i="12"/>
  <c r="AC241" i="12"/>
  <c r="AB235" i="12"/>
  <c r="AB241" i="12"/>
  <c r="AC235" i="12"/>
  <c r="G235" i="12"/>
  <c r="AF150" i="12"/>
  <c r="W231" i="12"/>
  <c r="AC20" i="12"/>
  <c r="AC19" i="12" s="1"/>
  <c r="AC14" i="12" s="1"/>
  <c r="AB51" i="12"/>
  <c r="AD210" i="12"/>
  <c r="AC300" i="12"/>
  <c r="W111" i="12"/>
  <c r="AD116" i="12"/>
  <c r="G130" i="12"/>
  <c r="F150" i="12"/>
  <c r="F129" i="12" s="1"/>
  <c r="AB231" i="12"/>
  <c r="Y129" i="12"/>
  <c r="AC231" i="12"/>
  <c r="AC51" i="12"/>
  <c r="AB111" i="12"/>
  <c r="G280" i="12"/>
  <c r="AC111" i="12"/>
  <c r="AD231" i="12"/>
  <c r="G26" i="12"/>
  <c r="W210" i="12"/>
  <c r="G150" i="12"/>
  <c r="AB223" i="12"/>
  <c r="G120" i="12"/>
  <c r="AB210" i="12"/>
  <c r="AC223" i="12"/>
  <c r="G223" i="12"/>
  <c r="AD120" i="12"/>
  <c r="AC210" i="12"/>
  <c r="AD223" i="12"/>
  <c r="W223" i="12"/>
  <c r="G116" i="12"/>
  <c r="G231" i="12"/>
  <c r="G210" i="12"/>
  <c r="G220" i="12"/>
  <c r="AC103" i="12"/>
  <c r="Y103" i="12"/>
  <c r="W20" i="12"/>
  <c r="G51" i="12"/>
  <c r="AC264" i="12"/>
  <c r="AD71" i="12"/>
  <c r="G111" i="12"/>
  <c r="G288" i="12"/>
  <c r="G287" i="12" s="1"/>
  <c r="AD111" i="12"/>
  <c r="W103" i="12"/>
  <c r="G103" i="12"/>
  <c r="AD103" i="12"/>
  <c r="G60" i="12"/>
  <c r="W60" i="12"/>
  <c r="G71" i="12"/>
  <c r="AB80" i="12"/>
  <c r="W26" i="12"/>
  <c r="AB60" i="12"/>
  <c r="G264" i="12"/>
  <c r="G251" i="12" s="1"/>
  <c r="W71" i="12"/>
  <c r="AB280" i="12"/>
  <c r="AB275" i="12" s="1"/>
  <c r="G300" i="12"/>
  <c r="AC60" i="12"/>
  <c r="AB71" i="12"/>
  <c r="AD80" i="12"/>
  <c r="G80" i="12"/>
  <c r="G20" i="12"/>
  <c r="AD60" i="12"/>
  <c r="AB264" i="12"/>
  <c r="AB251" i="12" s="1"/>
  <c r="AC71" i="12"/>
  <c r="AD264" i="12"/>
  <c r="AD251" i="12" s="1"/>
  <c r="AB326" i="12"/>
  <c r="AB300" i="12"/>
  <c r="AD275" i="12"/>
  <c r="AC288" i="12"/>
  <c r="AC287" i="12" s="1"/>
  <c r="AC280" i="12"/>
  <c r="Y280" i="12"/>
  <c r="Y250" i="12" s="1"/>
  <c r="J205" i="12"/>
  <c r="H205" i="12"/>
  <c r="I205" i="12"/>
  <c r="D205" i="12"/>
  <c r="E205" i="12"/>
  <c r="F205" i="12"/>
  <c r="I29" i="12"/>
  <c r="AF29" i="12"/>
  <c r="O29" i="12"/>
  <c r="O200" i="12"/>
  <c r="O18" i="12" s="1"/>
  <c r="O13" i="12" s="1"/>
  <c r="H341" i="12"/>
  <c r="J341" i="12"/>
  <c r="M341" i="12"/>
  <c r="AA308" i="12"/>
  <c r="AA309" i="12"/>
  <c r="AD172" i="12"/>
  <c r="AA174" i="12"/>
  <c r="AD130" i="12"/>
  <c r="AA218" i="12"/>
  <c r="AA228" i="12"/>
  <c r="F341" i="12"/>
  <c r="I341" i="12"/>
  <c r="AA283" i="12"/>
  <c r="AA31" i="12"/>
  <c r="E29" i="12"/>
  <c r="AA42" i="12"/>
  <c r="H175" i="12"/>
  <c r="M175" i="12"/>
  <c r="AA301" i="12"/>
  <c r="AA209" i="12"/>
  <c r="AA303" i="12"/>
  <c r="AA307" i="12"/>
  <c r="W216" i="12"/>
  <c r="G94" i="12"/>
  <c r="AC94" i="12"/>
  <c r="AE205" i="12"/>
  <c r="AA77" i="12"/>
  <c r="AA227" i="12"/>
  <c r="AA334" i="12"/>
  <c r="AA333" i="12" s="1"/>
  <c r="G349" i="12"/>
  <c r="G348" i="12" s="1"/>
  <c r="I348" i="12"/>
  <c r="AA43" i="12"/>
  <c r="AA273" i="12"/>
  <c r="AB77" i="12"/>
  <c r="D175" i="12"/>
  <c r="Z175" i="12"/>
  <c r="C341" i="12"/>
  <c r="K345" i="12"/>
  <c r="K342" i="12"/>
  <c r="D341" i="12"/>
  <c r="AF175" i="12"/>
  <c r="AA201" i="12"/>
  <c r="AA200" i="12" s="1"/>
  <c r="AF205" i="12"/>
  <c r="AA320" i="12"/>
  <c r="AA329" i="12"/>
  <c r="L340" i="12"/>
  <c r="M348" i="12"/>
  <c r="AA269" i="12"/>
  <c r="AA268" i="12" s="1"/>
  <c r="AA267" i="12" s="1"/>
  <c r="AA282" i="12"/>
  <c r="AA284" i="12"/>
  <c r="AA39" i="12"/>
  <c r="AD38" i="12"/>
  <c r="AA41" i="12"/>
  <c r="AA100" i="12"/>
  <c r="AA277" i="12"/>
  <c r="AC101" i="12"/>
  <c r="AC99" i="12" s="1"/>
  <c r="W184" i="12"/>
  <c r="AA25" i="12"/>
  <c r="G38" i="12"/>
  <c r="AA260" i="12"/>
  <c r="AA265" i="12"/>
  <c r="AA290" i="12"/>
  <c r="AA173" i="12"/>
  <c r="C175" i="12"/>
  <c r="F175" i="12"/>
  <c r="AA208" i="12"/>
  <c r="AG205" i="12"/>
  <c r="AA225" i="12"/>
  <c r="AA226" i="12"/>
  <c r="AA230" i="12"/>
  <c r="AA319" i="12"/>
  <c r="AA238" i="12"/>
  <c r="AA240" i="12"/>
  <c r="AA247" i="12"/>
  <c r="AA244" i="12"/>
  <c r="AA102" i="12"/>
  <c r="AA24" i="12"/>
  <c r="AA28" i="12"/>
  <c r="K29" i="12"/>
  <c r="AC116" i="12"/>
  <c r="AC128" i="12"/>
  <c r="AC127" i="12" s="1"/>
  <c r="G30" i="12"/>
  <c r="AA32" i="12"/>
  <c r="AA35" i="12"/>
  <c r="AA59" i="12"/>
  <c r="AA55" i="12" s="1"/>
  <c r="AA259" i="12"/>
  <c r="AA262" i="12"/>
  <c r="AA272" i="12"/>
  <c r="W94" i="12"/>
  <c r="J175" i="12"/>
  <c r="W172" i="12"/>
  <c r="W176" i="12"/>
  <c r="AC176" i="12"/>
  <c r="G176" i="12"/>
  <c r="N176" i="12"/>
  <c r="O176" i="12"/>
  <c r="E175" i="12"/>
  <c r="I175" i="12"/>
  <c r="K175" i="12"/>
  <c r="C219" i="12"/>
  <c r="E348" i="12"/>
  <c r="E341" i="12"/>
  <c r="K348" i="12"/>
  <c r="K341" i="12"/>
  <c r="G184" i="12"/>
  <c r="N184" i="12"/>
  <c r="AC184" i="12"/>
  <c r="X175" i="12"/>
  <c r="AA302" i="12"/>
  <c r="AA310" i="12"/>
  <c r="AA229" i="12"/>
  <c r="AA321" i="12"/>
  <c r="AA233" i="12"/>
  <c r="AA237" i="12"/>
  <c r="AA239" i="12"/>
  <c r="AA328" i="12"/>
  <c r="AA243" i="12"/>
  <c r="AA36" i="12"/>
  <c r="AA33" i="12"/>
  <c r="AA37" i="12"/>
  <c r="AD30" i="12"/>
  <c r="AC45" i="12"/>
  <c r="AC38" i="12"/>
  <c r="AA40" i="12"/>
  <c r="AA44" i="12"/>
  <c r="G45" i="12"/>
  <c r="AA261" i="12"/>
  <c r="AA266" i="12"/>
  <c r="W280" i="12"/>
  <c r="AA34" i="12"/>
  <c r="AB30" i="12"/>
  <c r="AA21" i="12"/>
  <c r="AA27" i="12"/>
  <c r="Z29" i="12"/>
  <c r="D29" i="12"/>
  <c r="AC30" i="12"/>
  <c r="AB38" i="12"/>
  <c r="H29" i="12"/>
  <c r="J29" i="12"/>
  <c r="M29" i="12"/>
  <c r="N29" i="12"/>
  <c r="P29" i="12"/>
  <c r="W29" i="12"/>
  <c r="AD45" i="12"/>
  <c r="AA70" i="12"/>
  <c r="AA64" i="12" s="1"/>
  <c r="AF94" i="12"/>
  <c r="AD94" i="12"/>
  <c r="F29" i="12"/>
  <c r="Y29" i="12"/>
  <c r="AE29" i="12"/>
  <c r="AG29" i="12"/>
  <c r="AA60" i="12"/>
  <c r="AA207" i="12"/>
  <c r="AA224" i="12"/>
  <c r="AA236" i="12"/>
  <c r="C348" i="12"/>
  <c r="C342" i="12"/>
  <c r="D348" i="12"/>
  <c r="D342" i="12"/>
  <c r="F348" i="12"/>
  <c r="F342" i="12"/>
  <c r="H348" i="12"/>
  <c r="H342" i="12"/>
  <c r="J348" i="12"/>
  <c r="J342" i="12"/>
  <c r="AB94" i="12"/>
  <c r="Y175" i="12"/>
  <c r="AE175" i="12"/>
  <c r="AG175" i="12"/>
  <c r="AB176" i="12"/>
  <c r="AD176" i="12"/>
  <c r="O184" i="12"/>
  <c r="AB184" i="12"/>
  <c r="AD184" i="12"/>
  <c r="AB200" i="12"/>
  <c r="AD200" i="12"/>
  <c r="AA217" i="12"/>
  <c r="AA232" i="12"/>
  <c r="M342" i="12"/>
  <c r="E345" i="12"/>
  <c r="E342" i="12"/>
  <c r="G345" i="12"/>
  <c r="G342" i="12"/>
  <c r="I345" i="12"/>
  <c r="I342" i="12"/>
  <c r="AA242" i="12"/>
  <c r="G249" i="12" l="1"/>
  <c r="AC249" i="12"/>
  <c r="G299" i="12"/>
  <c r="AC299" i="12"/>
  <c r="AB299" i="12"/>
  <c r="AC250" i="12"/>
  <c r="G250" i="12"/>
  <c r="AD250" i="12"/>
  <c r="AD248" i="12" s="1"/>
  <c r="W250" i="12"/>
  <c r="AI250" i="12"/>
  <c r="AI248" i="12" s="1"/>
  <c r="AB317" i="12"/>
  <c r="AB250" i="12"/>
  <c r="AA271" i="12"/>
  <c r="AE79" i="12"/>
  <c r="AE17" i="12"/>
  <c r="AE12" i="12" s="1"/>
  <c r="I79" i="12"/>
  <c r="I17" i="12"/>
  <c r="I12" i="12" s="1"/>
  <c r="D17" i="12"/>
  <c r="D12" i="12" s="1"/>
  <c r="D79" i="12"/>
  <c r="AG79" i="12"/>
  <c r="AG17" i="12"/>
  <c r="AG12" i="12" s="1"/>
  <c r="J17" i="12"/>
  <c r="J12" i="12" s="1"/>
  <c r="J79" i="12"/>
  <c r="H17" i="12"/>
  <c r="H12" i="12" s="1"/>
  <c r="H79" i="12"/>
  <c r="E17" i="12"/>
  <c r="E12" i="12" s="1"/>
  <c r="E79" i="12"/>
  <c r="AF17" i="12"/>
  <c r="AF12" i="12" s="1"/>
  <c r="AI79" i="12"/>
  <c r="AI17" i="12"/>
  <c r="F16" i="12"/>
  <c r="F11" i="12" s="1"/>
  <c r="H16" i="12"/>
  <c r="D16" i="12"/>
  <c r="E63" i="12"/>
  <c r="E16" i="12"/>
  <c r="I16" i="12"/>
  <c r="I63" i="12"/>
  <c r="AG63" i="12"/>
  <c r="AG16" i="12"/>
  <c r="AG11" i="12" s="1"/>
  <c r="AE63" i="12"/>
  <c r="AE16" i="12"/>
  <c r="J63" i="12"/>
  <c r="J16" i="12"/>
  <c r="AI63" i="12"/>
  <c r="AI16" i="12"/>
  <c r="G270" i="12"/>
  <c r="AB270" i="12"/>
  <c r="AC270" i="12"/>
  <c r="AA216" i="12"/>
  <c r="G19" i="12"/>
  <c r="G14" i="12" s="1"/>
  <c r="AA258" i="12"/>
  <c r="AA327" i="12"/>
  <c r="AA326" i="12" s="1"/>
  <c r="G234" i="12"/>
  <c r="AA318" i="12"/>
  <c r="AA231" i="12"/>
  <c r="AB219" i="12"/>
  <c r="AA172" i="12"/>
  <c r="AA129" i="12" s="1"/>
  <c r="AF129" i="12"/>
  <c r="AD234" i="12"/>
  <c r="AC98" i="12"/>
  <c r="AC234" i="12"/>
  <c r="W234" i="12"/>
  <c r="AC172" i="12"/>
  <c r="AC18" i="12" s="1"/>
  <c r="AA306" i="12"/>
  <c r="W219" i="12"/>
  <c r="AD18" i="12"/>
  <c r="AA206" i="12"/>
  <c r="AB234" i="12"/>
  <c r="K13" i="12"/>
  <c r="H13" i="12"/>
  <c r="P13" i="12"/>
  <c r="X18" i="12"/>
  <c r="X98" i="12"/>
  <c r="G18" i="12"/>
  <c r="G13" i="12" s="1"/>
  <c r="I13" i="12"/>
  <c r="AF18" i="12"/>
  <c r="AF13" i="12" s="1"/>
  <c r="Z13" i="12"/>
  <c r="M13" i="12"/>
  <c r="F17" i="12"/>
  <c r="J13" i="12"/>
  <c r="W19" i="12"/>
  <c r="W14" i="12" s="1"/>
  <c r="AG13" i="12"/>
  <c r="AA241" i="12"/>
  <c r="AA235" i="12"/>
  <c r="AC255" i="12"/>
  <c r="G115" i="12"/>
  <c r="W50" i="12"/>
  <c r="G275" i="12"/>
  <c r="AC219" i="12"/>
  <c r="W130" i="12"/>
  <c r="W129" i="12" s="1"/>
  <c r="AA210" i="12"/>
  <c r="AD219" i="12"/>
  <c r="AD98" i="12"/>
  <c r="G129" i="12"/>
  <c r="AD150" i="12"/>
  <c r="AD129" i="12" s="1"/>
  <c r="G219" i="12"/>
  <c r="AD115" i="12"/>
  <c r="W98" i="12"/>
  <c r="Y98" i="12"/>
  <c r="AB116" i="12"/>
  <c r="AC120" i="12"/>
  <c r="AC115" i="12" s="1"/>
  <c r="AA20" i="12"/>
  <c r="G50" i="12"/>
  <c r="AA26" i="12"/>
  <c r="AA223" i="12"/>
  <c r="AA111" i="12"/>
  <c r="AA281" i="12"/>
  <c r="AA280" i="12" s="1"/>
  <c r="AD50" i="12"/>
  <c r="AC50" i="12"/>
  <c r="AB50" i="12"/>
  <c r="G98" i="12"/>
  <c r="AC80" i="12"/>
  <c r="AA71" i="12"/>
  <c r="AA80" i="12"/>
  <c r="AA51" i="12"/>
  <c r="AA278" i="12"/>
  <c r="AA276" i="12" s="1"/>
  <c r="AB255" i="12"/>
  <c r="AC285" i="12"/>
  <c r="AC251" i="12" s="1"/>
  <c r="AA264" i="12"/>
  <c r="AD255" i="12"/>
  <c r="AB288" i="12"/>
  <c r="AB249" i="12" s="1"/>
  <c r="AA300" i="12"/>
  <c r="G255" i="12"/>
  <c r="Y275" i="12"/>
  <c r="K205" i="12"/>
  <c r="O205" i="12"/>
  <c r="N205" i="12"/>
  <c r="M205" i="12"/>
  <c r="Z205" i="12"/>
  <c r="C115" i="12"/>
  <c r="C79" i="12" s="1"/>
  <c r="H340" i="12"/>
  <c r="D340" i="12"/>
  <c r="I340" i="12"/>
  <c r="G341" i="12"/>
  <c r="G340" i="12" s="1"/>
  <c r="AA289" i="12"/>
  <c r="AA288" i="12" s="1"/>
  <c r="AA287" i="12" s="1"/>
  <c r="W175" i="12"/>
  <c r="AA286" i="12"/>
  <c r="AA285" i="12" s="1"/>
  <c r="AB120" i="12"/>
  <c r="AA176" i="12"/>
  <c r="G29" i="12"/>
  <c r="AA94" i="12"/>
  <c r="C340" i="12"/>
  <c r="K340" i="12"/>
  <c r="AC175" i="12"/>
  <c r="AA101" i="12"/>
  <c r="AA99" i="12" s="1"/>
  <c r="AA184" i="12"/>
  <c r="E340" i="12"/>
  <c r="O175" i="12"/>
  <c r="AD175" i="12"/>
  <c r="N175" i="12"/>
  <c r="N79" i="12" s="1"/>
  <c r="G175" i="12"/>
  <c r="AA30" i="12"/>
  <c r="AB103" i="12"/>
  <c r="AB98" i="12" s="1"/>
  <c r="AA38" i="12"/>
  <c r="AC29" i="12"/>
  <c r="AD29" i="12"/>
  <c r="AB175" i="12"/>
  <c r="J340" i="12"/>
  <c r="F340" i="12"/>
  <c r="M340" i="12"/>
  <c r="AA45" i="12"/>
  <c r="AB45" i="12"/>
  <c r="AA249" i="12" l="1"/>
  <c r="AA299" i="12"/>
  <c r="AA251" i="12"/>
  <c r="AA317" i="12"/>
  <c r="AA250" i="12"/>
  <c r="J15" i="12"/>
  <c r="AE15" i="12"/>
  <c r="E15" i="12"/>
  <c r="Z79" i="12"/>
  <c r="Z17" i="12"/>
  <c r="Z12" i="12" s="1"/>
  <c r="K79" i="12"/>
  <c r="K17" i="12"/>
  <c r="K12" i="12" s="1"/>
  <c r="AG10" i="12"/>
  <c r="AF79" i="12"/>
  <c r="J11" i="12"/>
  <c r="J10" i="12" s="1"/>
  <c r="P17" i="12"/>
  <c r="I15" i="12"/>
  <c r="M79" i="12"/>
  <c r="M17" i="12"/>
  <c r="M12" i="12" s="1"/>
  <c r="AG15" i="12"/>
  <c r="O63" i="12"/>
  <c r="N17" i="12"/>
  <c r="N12" i="12" s="1"/>
  <c r="AB248" i="12"/>
  <c r="E11" i="12"/>
  <c r="E10" i="12" s="1"/>
  <c r="I11" i="12"/>
  <c r="I10" i="12" s="1"/>
  <c r="H15" i="12"/>
  <c r="H11" i="12"/>
  <c r="H10" i="12" s="1"/>
  <c r="D11" i="12"/>
  <c r="D10" i="12" s="1"/>
  <c r="D15" i="12"/>
  <c r="D63" i="12"/>
  <c r="H63" i="12"/>
  <c r="N63" i="12"/>
  <c r="F63" i="12"/>
  <c r="AE11" i="12"/>
  <c r="AE10" i="12" s="1"/>
  <c r="K16" i="12"/>
  <c r="K63" i="12"/>
  <c r="Z63" i="12"/>
  <c r="Z16" i="12"/>
  <c r="AI15" i="12"/>
  <c r="AI11" i="12"/>
  <c r="O16" i="12"/>
  <c r="C16" i="12"/>
  <c r="C11" i="12" s="1"/>
  <c r="C63" i="12"/>
  <c r="M16" i="12"/>
  <c r="M63" i="12"/>
  <c r="AC248" i="12"/>
  <c r="G248" i="12"/>
  <c r="AA270" i="12"/>
  <c r="AA219" i="12"/>
  <c r="AA234" i="12"/>
  <c r="AC129" i="12"/>
  <c r="AI12" i="12"/>
  <c r="AC13" i="12"/>
  <c r="AD13" i="12"/>
  <c r="F15" i="12"/>
  <c r="F12" i="12"/>
  <c r="F10" i="12" s="1"/>
  <c r="AA19" i="12"/>
  <c r="AA14" i="12" s="1"/>
  <c r="AA116" i="12"/>
  <c r="G205" i="12"/>
  <c r="AA50" i="12"/>
  <c r="Y205" i="12"/>
  <c r="AA275" i="12"/>
  <c r="AB287" i="12"/>
  <c r="AC275" i="12"/>
  <c r="AA255" i="12"/>
  <c r="AD205" i="12"/>
  <c r="C17" i="12"/>
  <c r="AA175" i="12"/>
  <c r="AA120" i="12"/>
  <c r="AA103" i="12"/>
  <c r="AA98" i="12" s="1"/>
  <c r="AA29" i="12"/>
  <c r="AB29" i="12"/>
  <c r="P12" i="12" l="1"/>
  <c r="P10" i="12" s="1"/>
  <c r="P15" i="12"/>
  <c r="AD79" i="12"/>
  <c r="AD17" i="12"/>
  <c r="AD12" i="12" s="1"/>
  <c r="G17" i="12"/>
  <c r="G12" i="12" s="1"/>
  <c r="O79" i="12"/>
  <c r="O17" i="12"/>
  <c r="O12" i="12" s="1"/>
  <c r="N16" i="12"/>
  <c r="N11" i="12" s="1"/>
  <c r="N10" i="12" s="1"/>
  <c r="AI10" i="12"/>
  <c r="AD63" i="12"/>
  <c r="AD16" i="12"/>
  <c r="AD11" i="12" s="1"/>
  <c r="M15" i="12"/>
  <c r="M11" i="12"/>
  <c r="M10" i="12" s="1"/>
  <c r="Z11" i="12"/>
  <c r="Z10" i="12" s="1"/>
  <c r="Z15" i="12"/>
  <c r="G16" i="12"/>
  <c r="G63" i="12"/>
  <c r="O11" i="12"/>
  <c r="AF63" i="12"/>
  <c r="AF16" i="12"/>
  <c r="K15" i="12"/>
  <c r="K11" i="12"/>
  <c r="K10" i="12" s="1"/>
  <c r="AA248" i="12"/>
  <c r="C12" i="12"/>
  <c r="C15" i="12"/>
  <c r="AB205" i="12"/>
  <c r="AA205" i="12"/>
  <c r="AC205" i="12"/>
  <c r="AC79" i="12" s="1"/>
  <c r="N15" i="12" l="1"/>
  <c r="O15" i="12"/>
  <c r="G79" i="12"/>
  <c r="O10" i="12"/>
  <c r="AC17" i="12"/>
  <c r="AC12" i="12" s="1"/>
  <c r="AD10" i="12"/>
  <c r="AD15" i="12"/>
  <c r="AC63" i="12"/>
  <c r="AC16" i="12"/>
  <c r="AF11" i="12"/>
  <c r="AF10" i="12" s="1"/>
  <c r="AF15" i="12"/>
  <c r="G15" i="12"/>
  <c r="G11" i="12"/>
  <c r="G10" i="12" s="1"/>
  <c r="C13" i="12"/>
  <c r="C10" i="12" s="1"/>
  <c r="AC15" i="12" l="1"/>
  <c r="AC11" i="12"/>
  <c r="AC10" i="12" s="1"/>
  <c r="AB128" i="12"/>
  <c r="W127" i="12"/>
  <c r="W115" i="12" l="1"/>
  <c r="W18" i="12"/>
  <c r="AA128" i="12"/>
  <c r="AA127" i="12" s="1"/>
  <c r="AB127" i="12"/>
  <c r="AA115" i="12" l="1"/>
  <c r="AA18" i="12"/>
  <c r="AB115" i="12"/>
  <c r="AB18" i="12"/>
  <c r="AB79" i="12" l="1"/>
  <c r="AB17" i="12"/>
  <c r="AB12" i="12" s="1"/>
  <c r="AA79" i="12"/>
  <c r="AA17" i="12"/>
  <c r="AA12" i="12" s="1"/>
  <c r="AB63" i="12"/>
  <c r="AB16" i="12"/>
  <c r="AB11" i="12" s="1"/>
  <c r="AA63" i="12"/>
  <c r="AA16" i="12"/>
  <c r="AA11" i="12" s="1"/>
  <c r="AB13" i="12"/>
  <c r="AA13" i="12"/>
  <c r="AB15" i="12" l="1"/>
  <c r="AA10" i="12"/>
  <c r="AA15" i="12"/>
  <c r="AB10" i="12"/>
  <c r="S336" i="12"/>
  <c r="R336" i="12"/>
  <c r="R251" i="12" s="1"/>
  <c r="X338" i="12"/>
  <c r="W338" i="12" s="1"/>
  <c r="S251" i="12" l="1"/>
  <c r="S248" i="12" s="1"/>
  <c r="S326" i="12"/>
  <c r="R326" i="12"/>
  <c r="X336" i="12"/>
  <c r="W336" i="12"/>
  <c r="S13" i="12" l="1"/>
  <c r="R13" i="12"/>
  <c r="W326" i="12"/>
  <c r="X326" i="12"/>
  <c r="R205" i="12"/>
  <c r="X205" i="12" l="1"/>
  <c r="S205" i="12"/>
  <c r="R279" i="12"/>
  <c r="R276" i="12" l="1"/>
  <c r="R249" i="12" s="1"/>
  <c r="S17" i="12"/>
  <c r="S12" i="12" s="1"/>
  <c r="S79" i="12"/>
  <c r="S63" i="12"/>
  <c r="S16" i="12"/>
  <c r="R98" i="12"/>
  <c r="W205" i="12"/>
  <c r="R275" i="12" l="1"/>
  <c r="R248" i="12"/>
  <c r="S11" i="12"/>
  <c r="S10" i="12" s="1"/>
  <c r="S15" i="12"/>
  <c r="T176" i="12"/>
  <c r="R176" i="12"/>
  <c r="R175" i="12" s="1"/>
  <c r="R63" i="12" s="1"/>
  <c r="T175" i="12" l="1"/>
  <c r="R16" i="12"/>
  <c r="T63" i="12" l="1"/>
  <c r="R17" i="12"/>
  <c r="R12" i="12" s="1"/>
  <c r="R79" i="12"/>
  <c r="T16" i="12"/>
  <c r="T11" i="12" s="1"/>
  <c r="R11" i="12"/>
  <c r="W264" i="12"/>
  <c r="Y264" i="12"/>
  <c r="Y251" i="12" s="1"/>
  <c r="W285" i="12"/>
  <c r="W275" i="12" s="1"/>
  <c r="W251" i="12" l="1"/>
  <c r="R10" i="12"/>
  <c r="R15" i="12"/>
  <c r="T79" i="12"/>
  <c r="T17" i="12"/>
  <c r="Y255" i="12"/>
  <c r="W255" i="12"/>
  <c r="X285" i="12"/>
  <c r="X251" i="12" s="1"/>
  <c r="T12" i="12" l="1"/>
  <c r="T10" i="12" s="1"/>
  <c r="T15" i="12"/>
  <c r="Y248" i="12"/>
  <c r="Y13" i="12"/>
  <c r="X275" i="12"/>
  <c r="W248" i="12"/>
  <c r="W13" i="12"/>
  <c r="W79" i="12" l="1"/>
  <c r="W17" i="12"/>
  <c r="W12" i="12" s="1"/>
  <c r="Y79" i="12"/>
  <c r="Y17" i="12"/>
  <c r="Y12" i="12" s="1"/>
  <c r="W63" i="12"/>
  <c r="W16" i="12"/>
  <c r="Y63" i="12"/>
  <c r="Y16" i="12"/>
  <c r="X248" i="12"/>
  <c r="X13" i="12"/>
  <c r="X17" i="12" l="1"/>
  <c r="X12" i="12" s="1"/>
  <c r="X79" i="12"/>
  <c r="Y11" i="12"/>
  <c r="Y10" i="12" s="1"/>
  <c r="Y15" i="12"/>
  <c r="X63" i="12"/>
  <c r="X16" i="12"/>
  <c r="W11" i="12"/>
  <c r="W10" i="12" s="1"/>
  <c r="W15" i="12"/>
  <c r="X11" i="12" l="1"/>
  <c r="X10" i="12" s="1"/>
  <c r="X15" i="12"/>
</calcChain>
</file>

<file path=xl/comments1.xml><?xml version="1.0" encoding="utf-8"?>
<comments xmlns="http://schemas.openxmlformats.org/spreadsheetml/2006/main">
  <authors>
    <author>pc</author>
    <author>user</author>
  </authors>
  <commentList>
    <comment ref="AF44" authorId="0">
      <text>
        <r>
          <rPr>
            <b/>
            <sz val="9"/>
            <color indexed="81"/>
            <rFont val="Tahoma"/>
            <family val="2"/>
          </rPr>
          <t>TT XS 3 tỷ</t>
        </r>
      </text>
    </comment>
    <comment ref="AF46" authorId="0">
      <text>
        <r>
          <rPr>
            <b/>
            <sz val="9"/>
            <color indexed="81"/>
            <rFont val="Tahoma"/>
            <family val="2"/>
          </rPr>
          <t>TT XS 3 tỷ</t>
        </r>
      </text>
    </comment>
    <comment ref="AF48" authorId="0">
      <text>
        <r>
          <rPr>
            <b/>
            <sz val="9"/>
            <color indexed="81"/>
            <rFont val="Tahoma"/>
            <family val="2"/>
          </rPr>
          <t>TT XS 7 tỷ</t>
        </r>
      </text>
    </comment>
    <comment ref="AF118" authorId="0">
      <text>
        <r>
          <rPr>
            <b/>
            <sz val="9"/>
            <color indexed="81"/>
            <rFont val="Tahoma"/>
            <family val="2"/>
          </rPr>
          <t>TT XSKT 1,5 tỷ</t>
        </r>
      </text>
    </comment>
    <comment ref="AF121" authorId="0">
      <text>
        <r>
          <rPr>
            <b/>
            <sz val="9"/>
            <color indexed="81"/>
            <rFont val="Tahoma"/>
            <family val="2"/>
          </rPr>
          <t>TT XSKT 1,5 tỷ</t>
        </r>
      </text>
    </comment>
    <comment ref="AF123" authorId="0">
      <text>
        <r>
          <rPr>
            <b/>
            <sz val="9"/>
            <color indexed="81"/>
            <rFont val="Tahoma"/>
            <family val="2"/>
          </rPr>
          <t>TT XS 5 tỷ</t>
        </r>
      </text>
    </comment>
    <comment ref="AF124" authorId="0">
      <text>
        <r>
          <rPr>
            <b/>
            <sz val="9"/>
            <color indexed="81"/>
            <rFont val="Tahoma"/>
            <family val="2"/>
          </rPr>
          <t>TT XS 5 tỷ</t>
        </r>
      </text>
    </comment>
    <comment ref="T125" authorId="1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Trong
- THKP BCKTKT (Trong đó 168 tr là CT khối 3 PH; 257 tr là CT khối 10 PH; 108 tr là NXGV; 220 tr là NXHS; 12 tr là CT NBV; 31 tr là HR)
- 158 tr là PS1 gồm ( CT  Khối 10 PH + Khối HCQT+ NVS)</t>
        </r>
      </text>
    </comment>
    <comment ref="T128" authorId="1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- THKP QĐ sau TKCS (Trong đó 2.980 tr là Khối 17 PH + 8 PCN HT; 157 tr là HR HT; 160 tr +492 tr là NX1 + NX2; 82 tr + 96 tr là TBA)</t>
        </r>
      </text>
    </comment>
    <comment ref="Y128" authorId="1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- THKP QĐ sau TKCS (Trong đó 2.980 tr là Khối 17 PH + 8 PCN HT; 157 tr là HR HT; 160 tr +492 tr là NX1 + NX2; 82 tr + 96 tr là TBA)</t>
        </r>
      </text>
    </comment>
    <comment ref="AF151" authorId="0">
      <text>
        <r>
          <rPr>
            <b/>
            <sz val="9"/>
            <color indexed="81"/>
            <rFont val="Tahoma"/>
            <family val="2"/>
          </rPr>
          <t>TT XS 4 ty</t>
        </r>
      </text>
    </comment>
    <comment ref="AF154" authorId="0">
      <text>
        <r>
          <rPr>
            <b/>
            <sz val="9"/>
            <color indexed="81"/>
            <rFont val="Tahoma"/>
            <family val="2"/>
          </rPr>
          <t>TT XS 2,765 tỷ</t>
        </r>
      </text>
    </comment>
    <comment ref="AF155" authorId="0">
      <text>
        <r>
          <rPr>
            <b/>
            <sz val="9"/>
            <color indexed="81"/>
            <rFont val="Tahoma"/>
            <family val="2"/>
          </rPr>
          <t>TT XS 2,765 tỷ</t>
        </r>
      </text>
    </comment>
    <comment ref="AF174" authorId="0">
      <text>
        <r>
          <rPr>
            <b/>
            <sz val="9"/>
            <color indexed="81"/>
            <rFont val="Tahoma"/>
            <family val="2"/>
          </rPr>
          <t>TT XS 3,6 tỷ</t>
        </r>
      </text>
    </comment>
    <comment ref="Y289" authorId="1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- THKP QĐ Chủ Trương (Trong đó 120 tr là NX GV ;3.900 tr là GPMB)</t>
        </r>
      </text>
    </comment>
    <comment ref="Y292" authorId="1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- THKP BCKTKT (Trong đó 128 + 92 tr là TBA + Trung thế và hạ thế; 266 tr là NXHS+GV; 22.740 tr là GPMB)</t>
        </r>
      </text>
    </comment>
    <comment ref="Y294" authorId="1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- THKP QĐ sau TKCS (Trong đó 636 tr là Khối 16 PH thành 15 PCN ; 145 + 129 tr là HR; 200 + 560 tr là NX GV+HS; 150 tr TBA; 912 tr Vỉa hè+Cống)</t>
        </r>
      </text>
    </comment>
  </commentList>
</comments>
</file>

<file path=xl/sharedStrings.xml><?xml version="1.0" encoding="utf-8"?>
<sst xmlns="http://schemas.openxmlformats.org/spreadsheetml/2006/main" count="590" uniqueCount="463">
  <si>
    <t>STT</t>
  </si>
  <si>
    <t>Nội dung</t>
  </si>
  <si>
    <t>Quy mô đầu tư</t>
  </si>
  <si>
    <t>Tổng mức đầu tư</t>
  </si>
  <si>
    <t>Năm thực hiện</t>
  </si>
  <si>
    <t xml:space="preserve">Mức độ CSVC đạt (1 hoặc 2) </t>
  </si>
  <si>
    <t>Tổng số</t>
  </si>
  <si>
    <t>Vốn NS cấp huyện</t>
  </si>
  <si>
    <t>Trong đó</t>
  </si>
  <si>
    <t>Số Phòng học</t>
  </si>
  <si>
    <t>Số phòng chức năng</t>
  </si>
  <si>
    <t xml:space="preserve">Trong đó: </t>
  </si>
  <si>
    <t>Vốn NSTW</t>
  </si>
  <si>
    <t>Vốn khác</t>
  </si>
  <si>
    <t>Năm 2021</t>
  </si>
  <si>
    <t>Năm 2022</t>
  </si>
  <si>
    <t>Năm 2023</t>
  </si>
  <si>
    <t>I</t>
  </si>
  <si>
    <t>Sở Giáo dục và Đào tạo</t>
  </si>
  <si>
    <t>Trường THCS-THPT Hoà Bình</t>
  </si>
  <si>
    <t>Trường THPT Lai Vung 3</t>
  </si>
  <si>
    <t>Trường THCS-THPT Giồng Thị Đam</t>
  </si>
  <si>
    <t xml:space="preserve">Trường THPT Trường Xuân </t>
  </si>
  <si>
    <t>Trường THPT Châu Thành 2</t>
  </si>
  <si>
    <t>II</t>
  </si>
  <si>
    <t>Ban QLDA ĐTXD CT DD&amp;CN Tỉnh</t>
  </si>
  <si>
    <t>Trường THPT Hồng Ngự 3</t>
  </si>
  <si>
    <t>III</t>
  </si>
  <si>
    <t xml:space="preserve">Huyện Tân Hồng </t>
  </si>
  <si>
    <t xml:space="preserve">Mầm non </t>
  </si>
  <si>
    <t>Trường MG Tân Phước (Đ. Chính)</t>
  </si>
  <si>
    <t>Trường MN Thị trấn Sa Rài</t>
  </si>
  <si>
    <t>Trường MG Tân Công Chí</t>
  </si>
  <si>
    <t>Trường MG Tân Thành A</t>
  </si>
  <si>
    <t>Trường MN Dinh Bà (điểm phụ Cụm dân cư mới)</t>
  </si>
  <si>
    <t>Trường MN Tân Thành A (điểm phụ Chiến Thắng)</t>
  </si>
  <si>
    <t>Trường MN 1/6</t>
  </si>
  <si>
    <t>Tiểu học</t>
  </si>
  <si>
    <t>Trường TH Tân Thành B2</t>
  </si>
  <si>
    <t>Trường TH Giồng Găng</t>
  </si>
  <si>
    <t>Trường TH Trần Phú</t>
  </si>
  <si>
    <t>Trường TH Nguyễn Huệ</t>
  </si>
  <si>
    <t>Trường TH Tân Công Chí 1</t>
  </si>
  <si>
    <t>Trường TH Bình Phú 2</t>
  </si>
  <si>
    <t>Trung học cơ sở</t>
  </si>
  <si>
    <t>Trường THCS Nguyễn Quang Diêu</t>
  </si>
  <si>
    <t>Trường THCS Tân Phước</t>
  </si>
  <si>
    <t>Trường THCS Nguyễn Văn Trỗi</t>
  </si>
  <si>
    <t>Trường THCS Tân Hộ Cơ</t>
  </si>
  <si>
    <t>IV</t>
  </si>
  <si>
    <t>Huyện Hồng Ngự</t>
  </si>
  <si>
    <t>Trường Mẫu giáo Phú Thuận B</t>
  </si>
  <si>
    <t>Trường Mẫu giáo Phú Thuận A</t>
  </si>
  <si>
    <t>Trường Mẫu giáo Long Khánh B</t>
  </si>
  <si>
    <t>Trường Mẫu giáo Thường Thới Tiền</t>
  </si>
  <si>
    <t>Trường Tiểu học Phú Thuận B4</t>
  </si>
  <si>
    <t>Trường Tiểu học Thường Thới Tiền 1</t>
  </si>
  <si>
    <t>Trường Tiểu học Phú Thuận B3</t>
  </si>
  <si>
    <t>Trường Tiểu học Thường Phước 2A</t>
  </si>
  <si>
    <t>Trường Tiểu học Phú Thuận B2</t>
  </si>
  <si>
    <t>Trường Tiểu học Thường Thới Hậu A</t>
  </si>
  <si>
    <t>Trường Tiểu học Phú Thuận A2</t>
  </si>
  <si>
    <t>Trường Tiểu học Thường Phước 2</t>
  </si>
  <si>
    <t>Trường Tiểu học Long Khánh A4</t>
  </si>
  <si>
    <t xml:space="preserve">Trung học cơ sở </t>
  </si>
  <si>
    <t>Trường Trung học cơ sở Phú Thuận B</t>
  </si>
  <si>
    <t>Trường THCS Long Thuận</t>
  </si>
  <si>
    <t>Trường Trung học cơ sở Long Khánh B</t>
  </si>
  <si>
    <t>Trường Trung học cơ sở Long Khánh A</t>
  </si>
  <si>
    <t>V</t>
  </si>
  <si>
    <t>Trường MN Thị xã Hồng Ngự</t>
  </si>
  <si>
    <t>Trường MG Phường An Lạc</t>
  </si>
  <si>
    <t>Trường MG An Bình B (điểm chính)</t>
  </si>
  <si>
    <t>Trường MG Phường An Thạnh</t>
  </si>
  <si>
    <t>- Điểm chính</t>
  </si>
  <si>
    <t>- Điểm phụ Bình Hưng</t>
  </si>
  <si>
    <t>Trường TH Tân Hội</t>
  </si>
  <si>
    <t>Trường TH An Bình B.
 (Điểm phụ Ba Ánh )</t>
  </si>
  <si>
    <t>Trường TH An Bình A3</t>
  </si>
  <si>
    <t>Trường TH An Lạc 1</t>
  </si>
  <si>
    <t>Trường TH An Thạnh 1</t>
  </si>
  <si>
    <t>Trường THCS An Lạc</t>
  </si>
  <si>
    <t>VI</t>
  </si>
  <si>
    <t>Huyện Tam Nông</t>
  </si>
  <si>
    <t>Trường MN Tràm Chim</t>
  </si>
  <si>
    <t>Trường MN Phú Đức (điểm chính)</t>
  </si>
  <si>
    <t>Trường MN Hoa Sen</t>
  </si>
  <si>
    <t>Trường TH An Long B</t>
  </si>
  <si>
    <t>Trường TH Phú Ninh A</t>
  </si>
  <si>
    <t>Trường TH Phú Ninh B (Điểm chính)</t>
  </si>
  <si>
    <t>Trường TH Tràm Chim
  2 (Điểm chính)</t>
  </si>
  <si>
    <t>Trường TH Phú Hiệp A (Điểm chính)</t>
  </si>
  <si>
    <t>Trường TH Phú Hiệp B (Điểm chính)</t>
  </si>
  <si>
    <t>Trường TH Phú Thành A2 (Điểm chính)</t>
  </si>
  <si>
    <t>Trường TH Phú Thành B2 (Điểm chính)</t>
  </si>
  <si>
    <t>Trường TH-THCS Phú Thành B (Điểm chính)</t>
  </si>
  <si>
    <t>Trường TH Phú Cường B 
 (Điểm chính)</t>
  </si>
  <si>
    <t>Trường TH Phú Thành
  A1 (Điểm chính)</t>
  </si>
  <si>
    <t>Trường THCS An Hòa</t>
  </si>
  <si>
    <t>Trường THCS Phú Hiệp</t>
  </si>
  <si>
    <t>Trường TH-THCS Phú Xuân</t>
  </si>
  <si>
    <t>VII</t>
  </si>
  <si>
    <t xml:space="preserve">Huyện Thanh Bình </t>
  </si>
  <si>
    <t>Trường MG Phú Lợi (Điểm chính)</t>
  </si>
  <si>
    <t>-</t>
  </si>
  <si>
    <t>Trường MG Tân Phú (Điểm chính)</t>
  </si>
  <si>
    <t>Trường MG Tân Mỹ (Điểm chính)</t>
  </si>
  <si>
    <t>Trường MN An Phong (tách trường để gom các điểm trường)</t>
  </si>
  <si>
    <t>Trường MG Tân Long (Điểm chính)</t>
  </si>
  <si>
    <t>Trường MG Tân Hoà (Điểm chính)</t>
  </si>
  <si>
    <t>Trường TH Tân Quới 2 (Điểm chính+Phụ)</t>
  </si>
  <si>
    <t>Trường TH Tân Mỹ 1 (Điểm chính)</t>
  </si>
  <si>
    <t>Trường TH Tân Mỹ 2 (Điểm chính)</t>
  </si>
  <si>
    <t>Trường TH Tân Phú 2 (Điểm chính)</t>
  </si>
  <si>
    <t>Trường TH An Phong 1 (Điểm chính)</t>
  </si>
  <si>
    <t>Trường TH An Phong 2 (Điểm chính)</t>
  </si>
  <si>
    <t>Trường TH Tân Thạnh 2 (Điểm chính)</t>
  </si>
  <si>
    <t>Trường TH Bình Thành 1</t>
  </si>
  <si>
    <t>Trường TH Thị Trấn 2 (Điểm chính)</t>
  </si>
  <si>
    <t>Trường TH Bình Tấn 2 (Điểm chính)</t>
  </si>
  <si>
    <t>Trường TH Tân Long 2 (Điểm chính)</t>
  </si>
  <si>
    <t>Trường THCS An Phong</t>
  </si>
  <si>
    <t>Trường THCS Tân Thạnh</t>
  </si>
  <si>
    <t>Trường THCS Phú Lợi</t>
  </si>
  <si>
    <t>Trường THCS Tân Hòa</t>
  </si>
  <si>
    <t>VIII</t>
  </si>
  <si>
    <t>IX</t>
  </si>
  <si>
    <t>Huyện Tháp Mười</t>
  </si>
  <si>
    <t>Mầm non</t>
  </si>
  <si>
    <t>Trường MN Đốc Binh Kiều 2</t>
  </si>
  <si>
    <t>Điểm Kênh Năm</t>
  </si>
  <si>
    <t>Điểm Hai Hạt</t>
  </si>
  <si>
    <t>Điểm Kênh Cái</t>
  </si>
  <si>
    <t>Trường MN Mỹ Hòa</t>
  </si>
  <si>
    <t>Điểm chính</t>
  </si>
  <si>
    <t>Điểm Kênh Nhì</t>
  </si>
  <si>
    <t>Trường MN Đốc Binh Kiều 1</t>
  </si>
  <si>
    <t>Trường MN Mỹ Quý 1</t>
  </si>
  <si>
    <t>Điểm Mỹ Tây 3</t>
  </si>
  <si>
    <t>Trường MN Thanh Mỹ 1</t>
  </si>
  <si>
    <t>Điểm Cây Bả Đậu</t>
  </si>
  <si>
    <t>Trường MN Thanh Mỹ 2</t>
  </si>
  <si>
    <t>Điểm Mỹ Thạnh</t>
  </si>
  <si>
    <t>Điểm Lợi An</t>
  </si>
  <si>
    <t>Điểm Lợi Hòa</t>
  </si>
  <si>
    <t>Trường MN Mỹ Quý 2</t>
  </si>
  <si>
    <t>Điểm Mỹ Phước 1</t>
  </si>
  <si>
    <t>Điểm Mỹ Phước 2</t>
  </si>
  <si>
    <t>Trường TH Phú Điền 1</t>
  </si>
  <si>
    <t>Trường TH&amp;THCS Thanh Mỹ
 (phần TH)</t>
  </si>
  <si>
    <t>Điểm phụ</t>
  </si>
  <si>
    <t>Trường TH Mỹ An A</t>
  </si>
  <si>
    <t>Trường TH Tân Kiều 3</t>
  </si>
  <si>
    <t>Trường TH Mỹ Quý 3</t>
  </si>
  <si>
    <t>Điểm phụ 2</t>
  </si>
  <si>
    <t>Điểm phụ 3</t>
  </si>
  <si>
    <t>Trường TH Mỹ Quý 1</t>
  </si>
  <si>
    <t>Trường TH Mỹ An 1 (điểm chính)</t>
  </si>
  <si>
    <t>Trường THCS TT Mỹ An</t>
  </si>
  <si>
    <t>Trường THCS Tân Kiều</t>
  </si>
  <si>
    <t>Điểm Mỹ Hổ</t>
  </si>
  <si>
    <t>X</t>
  </si>
  <si>
    <t>Huyện Cao Lãnh</t>
  </si>
  <si>
    <t>XI</t>
  </si>
  <si>
    <t>XII</t>
  </si>
  <si>
    <t xml:space="preserve">Huyện Lấp Vò </t>
  </si>
  <si>
    <t>XIII</t>
  </si>
  <si>
    <t>Huyện Lai Vung</t>
  </si>
  <si>
    <t>Trường Tiểu học Long Hậu 2</t>
  </si>
  <si>
    <t>Trường Tiểu học Vĩnh Thới 3</t>
  </si>
  <si>
    <t>Trường Tiểu học Tân Thành 3</t>
  </si>
  <si>
    <t>Trường Tiểu học Tân Hòa 1</t>
  </si>
  <si>
    <t>Trường Tiểu học Tân Hòa 2 (điểm chính)</t>
  </si>
  <si>
    <t>XIV</t>
  </si>
  <si>
    <t>Huyện Châu Thành</t>
  </si>
  <si>
    <t>Trường Mẫu giáo Hòa Tân</t>
  </si>
  <si>
    <t>Trường Mẫu giáo Tân Phú (Điểm Chính)</t>
  </si>
  <si>
    <t>Truường Mầm non An Khánh A (Điểm An Bình)</t>
  </si>
  <si>
    <t>Trường Mẫu giáo An Nhơn (Điểm Chính)</t>
  </si>
  <si>
    <t>Trường Mẫu giáo An Khánh (Điểm Chính)</t>
  </si>
  <si>
    <t>Trường MG Phú Long (Điểm Chinh)</t>
  </si>
  <si>
    <t>Trường MG An Hiệp (Điểm Hội Xuân)</t>
  </si>
  <si>
    <t>Trường Tiểu học Nha Mân 2</t>
  </si>
  <si>
    <t xml:space="preserve">Trường Tiểu học Phú Long </t>
  </si>
  <si>
    <t>Điểm Phú Hòa</t>
  </si>
  <si>
    <t>Trường Tiểu học Cái Tàu Hạ 2</t>
  </si>
  <si>
    <t>Trường Tiểu học An Khánh 1 (Điểm Chính)</t>
  </si>
  <si>
    <t>Trường Tiểu học Hòa Tân 1 (Điểm Chính)</t>
  </si>
  <si>
    <t>Trường Tiểu học Tân Phú Trung (Điểm Chính)</t>
  </si>
  <si>
    <t>Trường THCS Tân Bình</t>
  </si>
  <si>
    <t>Trường THPT Tân Phú Trung</t>
  </si>
  <si>
    <t>Trường TH Tân Thành A1</t>
  </si>
  <si>
    <t xml:space="preserve"> -   </t>
  </si>
  <si>
    <t>Trường MN Hòa An 4</t>
  </si>
  <si>
    <t>Trường MN Trúc Xanh
(giai đoạn 2)</t>
  </si>
  <si>
    <t>Trường MN Mỹ Tân
(điểm chính Ấp 3)</t>
  </si>
  <si>
    <t xml:space="preserve">Trường MN Binh Minh
</t>
  </si>
  <si>
    <t xml:space="preserve">Trường MN Tân Thuận Đông (điểm chính)
</t>
  </si>
  <si>
    <t xml:space="preserve">Trường MN Tân Thuận Tây </t>
  </si>
  <si>
    <t>Điểm 1 (điểm chính  Cạnh Ủy Ban)</t>
  </si>
  <si>
    <t>Điểm 2 ( Đình Bằng Lăng)</t>
  </si>
  <si>
    <t>Trường TH Nguyễn Trung Trực (giai đoạn 2)</t>
  </si>
  <si>
    <t>Trường TH Trần Phú (giai đoạn 2)</t>
  </si>
  <si>
    <t>Trường TH  Trưng Vương</t>
  </si>
  <si>
    <t>Trường TH Bùi Thị Xuân (giai đoạn 2)</t>
  </si>
  <si>
    <t>Trường TH Lê Quí Đôn (giai đoạn 2)</t>
  </si>
  <si>
    <t>Trường TH Mỹ Ngãi (giai đoạn 2)</t>
  </si>
  <si>
    <t>Trường TH Tịnh Thới (giai đoạn 2)</t>
  </si>
  <si>
    <t>Trường THCS Thống Linh 
(giai đoạn 2)</t>
  </si>
  <si>
    <t>Trường THCS Nguyễn Trãi
 (giai đoạn 2)</t>
  </si>
  <si>
    <t>Trường Mầm non Hoa Sen</t>
  </si>
  <si>
    <t>Trường Mầm non Ánh Dương</t>
  </si>
  <si>
    <t>Trường Tiểu học Phú Long</t>
  </si>
  <si>
    <t>Trường MG Bình Thạnh Trung</t>
  </si>
  <si>
    <t>Trường MN Long Hưng A</t>
  </si>
  <si>
    <t>Trường MN Mỹ An Hưng A</t>
  </si>
  <si>
    <t>Trường MN Thị trấn Lấp Vò</t>
  </si>
  <si>
    <t>Trường MN Tân Khánh Trung</t>
  </si>
  <si>
    <t>Trường MG Mỹ An Hưng B</t>
  </si>
  <si>
    <t>Trường MN Định Yên</t>
  </si>
  <si>
    <t>Trường MG Bình Thành</t>
  </si>
  <si>
    <t>Trường TH Hội An Đông</t>
  </si>
  <si>
    <t>Trường TH Mỹ An Hưng A</t>
  </si>
  <si>
    <t>Trường TH Tân Khánh Trung 3</t>
  </si>
  <si>
    <t>Trường TH Định An</t>
  </si>
  <si>
    <t>Trường TH Vĩnh Thạnh 2</t>
  </si>
  <si>
    <t>Trường TH Tân Mỹ 1</t>
  </si>
  <si>
    <t>Trường TH Long Hưng B1</t>
  </si>
  <si>
    <t>Trường TH Vĩnh Thạnh 1</t>
  </si>
  <si>
    <t>Trường TH Bình Thành 3</t>
  </si>
  <si>
    <t>Trường TH Mỹ An Hưng B3</t>
  </si>
  <si>
    <t>Trường THCS Định Yên</t>
  </si>
  <si>
    <t>Trường THCS Định An</t>
  </si>
  <si>
    <t>Điểm chính Phú Hoà</t>
  </si>
  <si>
    <t>Điểm phụ Phú Hưng</t>
  </si>
  <si>
    <t>Trường Mầm non Hoa Hồng</t>
  </si>
  <si>
    <t>Trường MN Long Thắng  2</t>
  </si>
  <si>
    <t>Tiểu  học</t>
  </si>
  <si>
    <t>Trường Tiểu học Long Thắng 2 (điểm chính)</t>
  </si>
  <si>
    <t xml:space="preserve">Trường Tiểu học Long Hậu 4 </t>
  </si>
  <si>
    <t xml:space="preserve">Trường TH Phong Hòa 2  Điểm chính </t>
  </si>
  <si>
    <t xml:space="preserve"> Điểm Tân Qưới</t>
  </si>
  <si>
    <t>Trường Tiểu học Tân Phước 2 (điểm chính)</t>
  </si>
  <si>
    <t>+ Điểm Tân Mỹ</t>
  </si>
  <si>
    <t>Trường Tiểu học Long Hậu 1</t>
  </si>
  <si>
    <t xml:space="preserve">Trường THCS Tân Phước
</t>
  </si>
  <si>
    <t xml:space="preserve">Trường THCS Long Hậu
</t>
  </si>
  <si>
    <t xml:space="preserve">Trường THCS Định Hòa
</t>
  </si>
  <si>
    <t>Mầm non</t>
  </si>
  <si>
    <t>Trường MN Gáo Giồng</t>
  </si>
  <si>
    <t>Điểm chính: Khu dân cư</t>
  </si>
  <si>
    <t>Trường MN Bình Thạnh B</t>
  </si>
  <si>
    <t>Điểm phụ: Bình Hưng</t>
  </si>
  <si>
    <t>Điểm phụ: Bình Mỹ A</t>
  </si>
  <si>
    <t>Trường TH TT Mỹ Thọ 1 
(điểm chính)</t>
  </si>
  <si>
    <t>Trường TH Nhị Mỹ 1 (điểm chính)</t>
  </si>
  <si>
    <t>Trường TH Phong Mỹ 4</t>
  </si>
  <si>
    <t>Trường TH Gáo Giồng</t>
  </si>
  <si>
    <t>Trường TH Phương Thịnh 1</t>
  </si>
  <si>
    <t>Trường TH Bình Thạnh 2</t>
  </si>
  <si>
    <t>Trường TH Bình Thạnh 3</t>
  </si>
  <si>
    <t>Điểm phụ: Bình Mỹ B 2</t>
  </si>
  <si>
    <t>Trường TH Tân Hội Trung 1</t>
  </si>
  <si>
    <t>Điểm phụ: Xáng Phèn</t>
  </si>
  <si>
    <t>Trường TH Ba Sao 2</t>
  </si>
  <si>
    <t xml:space="preserve">Trung học Cơ sở </t>
  </si>
  <si>
    <t>Trường THCS Phương Trà</t>
  </si>
  <si>
    <t>Trung học phổ thông</t>
  </si>
  <si>
    <t>Thành phố Hồng Ngự</t>
  </si>
  <si>
    <t>Trường TH - THCS An Lạc (XD sau này tách cấp 2 là Trường TH An Lạc)</t>
  </si>
  <si>
    <t>Trường THPT Tân Hồng</t>
  </si>
  <si>
    <t>Trường THCS  Tân Phú điều chỉnh tên là TH-THCS Tân Phú</t>
  </si>
  <si>
    <t xml:space="preserve">Số dự án </t>
  </si>
  <si>
    <t xml:space="preserve">Thành phố Cao Lãnh </t>
  </si>
  <si>
    <t xml:space="preserve">Tổng số 
dự án </t>
  </si>
  <si>
    <t>B</t>
  </si>
  <si>
    <t>Trường TH Trường Xuân 1</t>
  </si>
  <si>
    <t>Trường TH Trường Xuân 2 (điểm chính)</t>
  </si>
  <si>
    <t>Trường TH Mỹ Đông (điểm chính)</t>
  </si>
  <si>
    <t xml:space="preserve">Trường MN Mỹ Phú 2 </t>
  </si>
  <si>
    <t>Huyện Tân Hồng</t>
  </si>
  <si>
    <t>Trường MN Tháp Mười (giai đoạn 2)</t>
  </si>
  <si>
    <t>C</t>
  </si>
  <si>
    <t>Thành phố Cao lãnh</t>
  </si>
  <si>
    <t>A</t>
  </si>
  <si>
    <t>TỔNG CỘNG A+B+C</t>
  </si>
  <si>
    <t>Thành phố Sa Đéc</t>
  </si>
  <si>
    <t>Điểm phụ: Kinh 15</t>
  </si>
  <si>
    <t>Trường TH  Lý Thường Kiệt (Trường TH Phan Đăng Lưu  sáp  nhập vào Trường TH Lý Thường Kiệt)</t>
  </si>
  <si>
    <t>DƯ ÁN LOẠI KHỎI CHƯƠNG TRÌNH KHÔNG ĐẦU TƯ</t>
  </si>
  <si>
    <t>Trường Tiểu học Phú Hựu (điều chỉnh tên là Trường TH-THCS Phú Hựu)</t>
  </si>
  <si>
    <t>Trường TH Định Yên 2 (tên cũ là điều chỉnh là Trường TH Định Yên 3)</t>
  </si>
  <si>
    <t>DỰ ÁN CÓ NHU CẦU THỰC HIỆN</t>
  </si>
  <si>
    <t xml:space="preserve">Vốn NS Tỉnh </t>
  </si>
  <si>
    <t xml:space="preserve">Đề nghị điều chỉnh </t>
  </si>
  <si>
    <t>Tổng nhu cầu vốn đầu tư</t>
  </si>
  <si>
    <t xml:space="preserve">DỰ ÁN CHUẨN BỊ ĐẦU TƯ </t>
  </si>
  <si>
    <t>Số Quyết định, 
ngày, tháng, năm</t>
  </si>
  <si>
    <t>1824/QĐ-UBND.HC ngày 30/11/2021 của UBND Tỉnh</t>
  </si>
  <si>
    <t>1823/QÐ-UBND.HC ngày 30/11/2021 của UBND Tỉnh</t>
  </si>
  <si>
    <t>1825/QÐ-UBND.HC ngày 01/12/2021 của UBND Tỉnh</t>
  </si>
  <si>
    <t>Số 102/QĐ-UBND.HC ngày 27/01/2022 của UBND Tỉnh</t>
  </si>
  <si>
    <t>268/QĐ-UBND.ĐTXD ngày 19/12/2020 và 305/QĐ-UBND.ĐTXD ngày 24/9/2021; số 243/QĐ-UBND.ĐTXD ngày 17/11/2022 của UBND huyện</t>
  </si>
  <si>
    <t>316/QĐ-UBND.ĐTXD ngày 28/12/2020 và 319/QĐ-UBND.ĐTXD ngày 08/10/2021 của UBND huyện</t>
  </si>
  <si>
    <t>269/QĐ-UBND.ĐTXD ngày 19/12/2020; số 239/QĐ-UBND.ĐTXD ngày 17/11/2022 của UBND huyện</t>
  </si>
  <si>
    <t>270/QĐ-UBND.ĐTXD ngày 19/12/2020 và 274/QĐ-UBND.ĐTXD ngày 11/9/2021, số 236/QĐ-UBND.ĐTXD ngày 17/11/2022 của UBND huyện</t>
  </si>
  <si>
    <t>271/QĐ-UBND.ĐTXD ngày 19/12/2020; số 109/QĐ-UBND.ĐTXD ngày 31/5/2022 của UBND huyện</t>
  </si>
  <si>
    <t>317/QĐ-UBND.ĐTXD ngày 28/12/2020 và 331/QĐ-UBND.ĐTXD ngày 18/10/2021 của UBND huyện</t>
  </si>
  <si>
    <t>318/QĐ-UBND.ĐTXD ngày 28/12/2020 và 331/QĐ-UBND.ĐTXD ngày 18/10/2021 của UBND huyện</t>
  </si>
  <si>
    <t xml:space="preserve">319/QĐ-UBND.ĐTXD ngày 28/12/2020; số 242/QĐ-UBND.ĐTXD ngày 17/11/2022 của UBND huyện </t>
  </si>
  <si>
    <t>272/QĐ-UBND.ĐTXD ngày 19/12/2020; số 237/QĐ-UBND.ĐTXD ngày 17/11/2022 của UBND huyện</t>
  </si>
  <si>
    <t>273/QĐ-UBND.ĐTXD ngày 19/12/2020; số 244/QĐ-UBND.ĐTXD ngày 17/11/2022 của UBND huyện</t>
  </si>
  <si>
    <t>320/QĐ-UBND.ĐTXD ngày 28/12/2020; số 235/QĐ-UBND.ĐTXD ngày 17/11/2022 của UBND huyện</t>
  </si>
  <si>
    <t>274/QĐ-UBND.ĐTXD ngày 19/12/2020; số 238/QĐ-UBND.ĐTXD ngày 17/11/2022 của UBND huyện</t>
  </si>
  <si>
    <t>6027/QĐ-UBND ngày 30/12/2020 của UBND huyện</t>
  </si>
  <si>
    <t>6030/QĐ-UBND ngày 30/12/2020 của UBND huyện</t>
  </si>
  <si>
    <t xml:space="preserve"> 13213/QĐ-UBND ngày 25/11/2021 của UBND huyện </t>
  </si>
  <si>
    <t xml:space="preserve"> 13350/QĐ-UBND ngày 29/11/2021 của UBND huyện </t>
  </si>
  <si>
    <t>6029/QĐ-UBND ngày 30/12/2020 của UBND huyện</t>
  </si>
  <si>
    <t xml:space="preserve"> 13351/QĐ-UBND ngày 29/11/2021 của UBND huyện </t>
  </si>
  <si>
    <t xml:space="preserve"> 13352/QĐ-UBND ngày 29/11/2021 của UBND huyện </t>
  </si>
  <si>
    <t xml:space="preserve"> 13214/QĐ-UBND ngày 25/11/2021 của UBND huyện </t>
  </si>
  <si>
    <t>468/QĐ-UBND 17/12/2020 của UBND thành phố</t>
  </si>
  <si>
    <t>2742/QĐ-UBND ngày 20/12/2021 của UBND thành phố</t>
  </si>
  <si>
    <t>471/QĐ-UBND 17/12/2020 của UBND thành phố</t>
  </si>
  <si>
    <t>467/QĐ-UBND 17/12/2020 của UBND thành phố</t>
  </si>
  <si>
    <t>469/QĐ-UBND 17/12/2020 và 118/QĐ-UBND ngày 26/01/202 của UBND thành phố</t>
  </si>
  <si>
    <t>472/QĐ-UBND 17/12/2020 của UBND thành phố</t>
  </si>
  <si>
    <t>470/QĐ-UBND 17/12/2020 của UBND thành phố</t>
  </si>
  <si>
    <t>2741/QĐ-UBND ngày 20/12/2021 của UBND thành phố</t>
  </si>
  <si>
    <t>2743/QĐ-UBND ngày 20/12/2021 của UBND thành phố</t>
  </si>
  <si>
    <t>2035/QĐ-UBND-HC ngày 01/11/2021 của UBND huyện</t>
  </si>
  <si>
    <t>2296/QĐ-UBND-HC ngày 02/12/2021 của UBND huyện</t>
  </si>
  <si>
    <t>1889/QĐ-UBND-HC ngày 24/12/2020 của UBND huyện</t>
  </si>
  <si>
    <t>1780/QĐ-UBND-HC ngày 18/12/2020 của UBND huyện</t>
  </si>
  <si>
    <t>1891/QĐ-UBND-HC ngày 24/12/2020 của UBND huyện</t>
  </si>
  <si>
    <t>2389/QĐ-UBND-HC ngày 17/12/2021 của UBND huyện</t>
  </si>
  <si>
    <t>2289/QĐ-UBND-HC ngày 30/11/2021 của UBND huyện</t>
  </si>
  <si>
    <t>379/QĐ-UBND ngày 30/12/2020 của UBND huyện</t>
  </si>
  <si>
    <t>380/QĐ-UBND ngày 30/12/2020 của UBND huyện</t>
  </si>
  <si>
    <t>2121/QĐ-UBND ngày 22/12/2020 của UBND thành phố</t>
  </si>
  <si>
    <t>2127/QĐ-UBND ngày 23/12/2020 của UBND thành phố</t>
  </si>
  <si>
    <t>2106/QĐ-UBND ngày 18/10/2021 của UBND thành phố</t>
  </si>
  <si>
    <t>2122/QĐ-UBND ngày 22/12/2020 của UBND thành phố</t>
  </si>
  <si>
    <t>2123/QĐ-UBND ngày 22/12/2020 của UBND thành phố</t>
  </si>
  <si>
    <t>2125/QĐ-UBND ngày 23/12/2020 của UBND thành phố</t>
  </si>
  <si>
    <t>2126/QĐ-UBND ngày 23/12/2020 của UBND thành phố</t>
  </si>
  <si>
    <t>2519/QĐ-UBND ngày 29/11/2021 của UBND thành phố</t>
  </si>
  <si>
    <t>2520/QĐ-UBND ngày 29/11/2021 của UBND thành phố</t>
  </si>
  <si>
    <t>850/QĐ-UBND (Đ/C) ngày 29/12/2020 của UBND huyện</t>
  </si>
  <si>
    <t>845/QĐ-UBND ngày 29/12/2020 và số 559/QĐ-UBND ngày 14/11/2022 của UBND huyện</t>
  </si>
  <si>
    <t xml:space="preserve"> 846/QĐ-UBND ngày 29/12/2020 và số 560/QĐ-UBND ngày 14/11/2022 của UBND huyện</t>
  </si>
  <si>
    <t>758/QĐ-UBND ngày 04/12/2020, số 830/QĐ-UBND ngày 25/12/2020 và số 561/QĐ-UBND ngày 14/11/2022 của UBND huyện</t>
  </si>
  <si>
    <t>847/QĐ-UBND ngày 29/12/2020 và 1119/QĐ-UBND ngày 12/10/2021 của UBND huyện</t>
  </si>
  <si>
    <t>6338/QĐ-UBND ngày 31/12/2020 và số 7185/QĐ-UBND ngày 18/11/2022 của UBND huyện</t>
  </si>
  <si>
    <t>6339/QĐ-UBND ngày 31/12/2020 và số 7185/QĐ-UBND ngày 18/11/2022 của UBND huyện</t>
  </si>
  <si>
    <t>6283/QĐ-UBND ngày 31/12/2020 của UBND huyện</t>
  </si>
  <si>
    <t xml:space="preserve">Số 1861/QĐ-UBND ngày 30/11/2021 của UBND Huyện  </t>
  </si>
  <si>
    <t xml:space="preserve">Số 1851/QĐ-UBND ngày 30/11/2021 của UBND Huyện  </t>
  </si>
  <si>
    <t xml:space="preserve">Số 1859/QĐ-UBND ngày 30/11/2021của UBND Huyện  </t>
  </si>
  <si>
    <t xml:space="preserve">Số 1855/QĐ-UBND ngày 30/11/2021 của UBND Huyện  </t>
  </si>
  <si>
    <t xml:space="preserve">Số 1857/QĐ-UBND ngày 30/11/2021 của UBND Huyện  </t>
  </si>
  <si>
    <t>45/QĐ-UBND-XDCB ngày 25/01/2022 của UBND huyện</t>
  </si>
  <si>
    <t>44/QĐ-UBND-XDCB ngày 25/01/2022 của UBND huyện</t>
  </si>
  <si>
    <t>575/QĐ-UBND-XDCB ngày 28/12/2020 của UBND huyện</t>
  </si>
  <si>
    <t>578/QĐ-UBND-XDCB ngày 28/12/2020 của UBND huyện</t>
  </si>
  <si>
    <t>576/QĐ-UBND-XDCB ngày 28/12/2020 của UBND huyện</t>
  </si>
  <si>
    <t>574/QĐ-UBND-XDCB ngày 28/12/2020 của UBND huyện</t>
  </si>
  <si>
    <t>577/QĐ-UBND-XDCB ngày 28/12/2020 của UBND huyện</t>
  </si>
  <si>
    <t>573/QĐ-UBND-XDCB ngày 28/12/2020 của UBND huyện</t>
  </si>
  <si>
    <t>43/QĐ-UBND-XDCB ngày 25/01/2022 của UBND huyện</t>
  </si>
  <si>
    <t>42/QĐ-UBND-XDCB ngày 25/01/2022 của UBND huyện</t>
  </si>
  <si>
    <t>579/QĐ-UBND-XDCB ngày 28/12/2020 của UBND huyện</t>
  </si>
  <si>
    <t>6334/QĐ-UBND ngày 31/12/2020 của UBND huyện</t>
  </si>
  <si>
    <t>6335/QĐ-UBND ngày 31/12/2020 của UBND huyện</t>
  </si>
  <si>
    <t>6336/QĐ-UBND ngày 31/12/2020 của UBND huyện</t>
  </si>
  <si>
    <t>6340/QĐ-UBND ngày 31/12/2020 của UBND huyện</t>
  </si>
  <si>
    <t>6342/QĐ-UBND ngày 31/12/2020 của UBND huyện</t>
  </si>
  <si>
    <t>6343/QĐ-UBND ngày 31/12/2020 của UBND huyện</t>
  </si>
  <si>
    <t>5349/QĐ-UBND ngày 21/12/2020 của UBND huyện</t>
  </si>
  <si>
    <t>1985/QĐ-UBND ngày 28/12/2021 của UBND huyện</t>
  </si>
  <si>
    <t>1987/QĐ-UBND ngày 28/12/2021 của UBND huyện</t>
  </si>
  <si>
    <t>1984/QĐ-UBND ngày 28/12/2021 của UBND huyện</t>
  </si>
  <si>
    <t>Số 176/QĐ-UBND.HC ngày 25/01/2022 của UBND huyện</t>
  </si>
  <si>
    <t>Số 1736/QĐ-UBND.HC ngày 17/12/2021 của UBND huyện</t>
  </si>
  <si>
    <t>Số 175/QĐ-UBND.HC ngày 25/01/2022 của UBND huyện</t>
  </si>
  <si>
    <t>2371/QĐ-UBND ngày 18/11/2021 của UBND thành phố</t>
  </si>
  <si>
    <t>528/QĐ-UBND ngày
31/8/2020 của UBND
huyện</t>
  </si>
  <si>
    <t>4324/QĐ-UBND ngày
30/10/2020 của UBND
huyện</t>
  </si>
  <si>
    <t>5350/QĐ-UBND ngày
21/12/2020 của UBND
huyện</t>
  </si>
  <si>
    <t>1074/QĐ-UBND.HC
ngày 29/12/2020 của
UBND huyện</t>
  </si>
  <si>
    <t>1073/QĐ-UBND.HC
ngày 29/12/2020 của
UBND huyện</t>
  </si>
  <si>
    <t>1175/QĐ-UBND ngày
18/12/2020 của UBND
huyện</t>
  </si>
  <si>
    <t>1174/QĐ-UBND ngày
18/12/2020 của UBND
huyện</t>
  </si>
  <si>
    <t>1168/QĐ-UBND ngày
18/12/2020 của UBND
huyện</t>
  </si>
  <si>
    <t>1172/QĐ-UBND ngày
18/12/2020 của UBND
huyện</t>
  </si>
  <si>
    <t>6341/QĐ-UBND ngày
31/12/2020 của UBND
huyện</t>
  </si>
  <si>
    <t>6284/QĐ-UBND ngày
31/12/2020 của UBND
huyện</t>
  </si>
  <si>
    <t>722/QĐ-UBND.HC
ngày 24/3/2021 của
UBND huyện</t>
  </si>
  <si>
    <t>số 1153/QĐ-UBND
ngày 11/9/2021 của
UBND huyện</t>
  </si>
  <si>
    <t>1930/QĐ-UBND-HC 
ngày 18/12/2020 của
 UBND huyện</t>
  </si>
  <si>
    <t>2295/QĐ-UBND-HC
 ngày 02/12/2021 
của UBND huyện</t>
  </si>
  <si>
    <t>566/QĐ-UBND.HC
 ngày 25/11/2021 
của UBND huyện</t>
  </si>
  <si>
    <t xml:space="preserve"> 382/QĐ-UBND 
ngày 30/12/2020
 của UBND huyện</t>
  </si>
  <si>
    <t>381/QĐ-UBND 
ngày 30/12/2020 
của UBND huyện</t>
  </si>
  <si>
    <t>561/QĐ-UBND.HC 
ngày 25/11/2021 
của UBND huyện</t>
  </si>
  <si>
    <t>Trường TH Trần Thị Bích Dung (điểm phụ)</t>
  </si>
  <si>
    <t>5348/QĐ-UBND ngày 21/12/2020 của UBND huyện' 10296/QĐ-UBND ngày 29/10/2021</t>
  </si>
  <si>
    <t xml:space="preserve">6286/QĐ-UBND ngày 31/12/2020 của UBND huyện' 9169/QĐ-UBND ngày 28/8/2021 của UBND huyện </t>
  </si>
  <si>
    <t>6285/QĐ-UBND ngày
31/12/2020; 3323/QĐ-UBND ngày 8/6/2022 của UBND huyện</t>
  </si>
  <si>
    <t>279/QĐ-UBND ngày
27/10/2020;12140/QĐ-UBND ngày 31/12/2021 của UBND
huyện</t>
  </si>
  <si>
    <t>Trường TH Đốc Binh Kiều 3 (điểm Kênh Cái)</t>
  </si>
  <si>
    <t xml:space="preserve">Quy mô </t>
  </si>
  <si>
    <t xml:space="preserve">Số 266/QĐ-UBND.ĐTXD ngày 19/12/2020 và
 289/QĐ-UBND.ĐTXD ngày 14/9/2021; 
số 240/QĐ-UBND.ĐTXD ngày 17/11/2022 của UBND huyện </t>
  </si>
  <si>
    <t>Số 267/QĐ-UBND.ĐTXD ngày 19/12/2020  và 153/QĐ-UBND.ĐTXD ngày 01/7/2021; số 241/QĐ-UBND.ĐTXD ngày 17/11/2022 của UBND huyện</t>
  </si>
  <si>
    <t xml:space="preserve">Trường MN Sao Mai (Trường MN Hương Sen sáp nhâp vào Trường MN Sao Mai)
</t>
  </si>
  <si>
    <t>142/QĐ-UBND.HC ngày 17/01/2022</t>
  </si>
  <si>
    <t>1986/QĐ-UBND ngày
28/12/2021 của UBND
huyện</t>
  </si>
  <si>
    <t>565/QĐ-UBND ngày 28/6/2022</t>
  </si>
  <si>
    <t>1234/QĐ-UBND ngày 22/12/2022</t>
  </si>
  <si>
    <t>530/QĐ-UBND ngày 13/6/2022</t>
  </si>
  <si>
    <t>529/QĐ-UBND ngày 13/6/2022</t>
  </si>
  <si>
    <t xml:space="preserve">562/QĐ-UBND.HC 
ngày 25/11/2021 
của UBND huyện; số 226/QĐ-UBND.HC ngày 18/7/2022 </t>
  </si>
  <si>
    <t>Số 197a/QĐ-UBND.HC ngày 19/06/2023</t>
  </si>
  <si>
    <t xml:space="preserve"> số  455/QĐ-UBND ngày 30/9/2021 của UBND huyện</t>
  </si>
  <si>
    <t>Số 564/QĐ-UBND.HC ngày 25/11/2021 của UBND huyện</t>
  </si>
  <si>
    <t>số 186/QĐ-UBND ngày 30/6/2022 của UBND huyện</t>
  </si>
  <si>
    <t>Số 449/QĐ-UBND ngày 24/9/2021 và Số 80/QĐ-UBND.HC ngày 24/3/2022 của UBND huyện</t>
  </si>
  <si>
    <t>Số 563/QĐ-UBND ngày 25/11/2021 của UBND huyện</t>
  </si>
  <si>
    <t>39/QĐ-UBND.HC ngày  17/3/2023 của UBND huyện (Phê duyệt chủ trương đầu tư)</t>
  </si>
  <si>
    <t xml:space="preserve"> số  191/QĐ-UBND ngày 30/6/2022 của UBND huyện</t>
  </si>
  <si>
    <t>Số 467/QĐ-UBND.HC ngày 30/9/2021 của UBND huyện (PD chủ trương)</t>
  </si>
  <si>
    <t>38/QĐ-UBND.HC ngày  15/3/2023 của UBND huyện (chủ trương đầu tư)</t>
  </si>
  <si>
    <t>Số 454/QĐ-UBND.HC ngày 27/09/2021 (Phê duyệt chủ trương)</t>
  </si>
  <si>
    <t xml:space="preserve">185/QĐ-UBND ngày 30/06/2022 của UBND huyện </t>
  </si>
  <si>
    <t>số 192/QĐ-UBND ngày 30/06/2022 của UBND huyện</t>
  </si>
  <si>
    <t>Số 192/QĐ-UBND.HC ngày 14/06/2023</t>
  </si>
  <si>
    <t>Sân-đường nội bộ, HT cấp - thoát nước;  VS GV và HS; cầu nối; cổng - hàng rào; nhà xe GV; HT chiếu sáng ngoài nhà; san lấp mặt bằng, thiết bị.</t>
  </si>
  <si>
    <t>Sân-đường nội bộ, HT cấp - thoát nước;  VS GV và HS; cầu nối; cổng - hàng rào; nhà bảo vệ; nhà xe GV và học sinh; HT chiếu sáng ngoài nhà; san lấp mặt bằng; HT chữa cháy, nhà đa năng, thiết bị.</t>
  </si>
  <si>
    <t>DK năm 2024</t>
  </si>
  <si>
    <t>DK năm 2025</t>
  </si>
  <si>
    <t>DK bổ sung 2023</t>
  </si>
  <si>
    <t>Kế hoạch bố trí vốn  XSKT</t>
  </si>
  <si>
    <t>374/QĐ-UBND.XDCB ngày 10/11/2021 và số 18/QĐ-UBND.D9TXD ngày 15/3/2022 của UBND huyện</t>
  </si>
  <si>
    <t>372/QĐ-UBND.XDCB ngày 10/11/2021 số 33/QĐ-UBND.ĐTXD ngày 31/03/2022 của UBND huyện</t>
  </si>
  <si>
    <t>373/QĐ-UBND.XDCB ngày 10/11/2021 và số 43/QĐ-SGDĐT.ĐTXD ngày 12/4/2022 của UBND huyện</t>
  </si>
  <si>
    <t>528/QĐ-UBND ngày 13/6/2022 của UBND huyện</t>
  </si>
  <si>
    <t>Số 1853/QĐ-UBND ngày 30/11/2021 của UBND Huyện (CĐT đang điều chỉnh DA)</t>
  </si>
  <si>
    <t>1346/QĐ-UBND.HC ngày 30/9/2021 (theo chủ trương đầu tư)</t>
  </si>
  <si>
    <t xml:space="preserve">Mở rộng mặt bằng và đầu tư cổng- hàng rào (200md), hệ thống điện chiếu sáng ngoài nhà (5 trụ), nhà đa năng, san lấp mặt bằng, sân - đường đan </t>
  </si>
  <si>
    <t>Công trình phụ trợ, hạ tầng kỹ thuật và thiết bị</t>
  </si>
  <si>
    <t>Công trình phụ trợ, hạ tầng kỹ thuật và thiết bị (theo quy định của Chương trình)</t>
  </si>
  <si>
    <t>Nhu cầu vốn</t>
  </si>
  <si>
    <t>Tồng số</t>
  </si>
  <si>
    <t>Vốn huyện, 
thành phố</t>
  </si>
  <si>
    <t>Theo Nghị quyết số 385/NQ-HĐND ngày 08/12/2020 của HĐND Tỉnh</t>
  </si>
  <si>
    <t>Vốn Tỉnh</t>
  </si>
  <si>
    <t xml:space="preserve">Trường MG Phú Thọ (điểm chính) </t>
  </si>
  <si>
    <t>Trường MN Long Hậu 2</t>
  </si>
  <si>
    <t xml:space="preserve">DANH MỤC CHƯƠNG TRÌNH ĐẢM BẢO CƠ SỞ VẬT CHẤT CHO CHƯƠNG TRÌNH GIÁO DỤC MẦM NON
 VÀ GIÁO DỤC PHỔ THÔNG GIAI ĐOẠN 2021-2025 </t>
  </si>
  <si>
    <t>Đơn vị tính: triệu đồng</t>
  </si>
  <si>
    <t>PHỤ LỤC</t>
  </si>
  <si>
    <t>(Kèm theo Nghị quyết số 42 /NQ-HĐND ngày 13 tháng 11 năm 2023 của Hội đồng nhân dân tỉnh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</si>
</sst>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&quot;True&quot;;&quot;True&quot;;&quot;False&quot;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4"/>
      <name val="Times New Roman"/>
      <family val="1"/>
    </font>
    <font>
      <b/>
      <sz val="9"/>
      <color indexed="81"/>
      <name val="Tahoma"/>
      <family val="2"/>
    </font>
    <font>
      <b/>
      <sz val="16"/>
      <name val="Times New Roman"/>
      <family val="1"/>
      <charset val="163"/>
    </font>
    <font>
      <b/>
      <sz val="20"/>
      <name val="Times New Roman"/>
      <family val="1"/>
      <charset val="163"/>
    </font>
    <font>
      <sz val="9"/>
      <color indexed="81"/>
      <name val="Tahoma"/>
      <family val="2"/>
    </font>
    <font>
      <sz val="14"/>
      <name val="Times New Roman"/>
      <family val="1"/>
      <charset val="163"/>
    </font>
    <font>
      <sz val="11"/>
      <name val="Times New Roman"/>
      <family val="1"/>
      <charset val="163"/>
    </font>
    <font>
      <b/>
      <sz val="14"/>
      <name val="Times New Roman"/>
      <family val="1"/>
      <charset val="163"/>
    </font>
    <font>
      <sz val="16"/>
      <name val="Times New Roman"/>
      <family val="1"/>
      <charset val="163"/>
    </font>
    <font>
      <b/>
      <i/>
      <sz val="16"/>
      <name val="Times New Roman"/>
      <family val="1"/>
      <charset val="163"/>
    </font>
    <font>
      <b/>
      <i/>
      <sz val="14"/>
      <name val="Times New Roman"/>
      <family val="1"/>
      <charset val="163"/>
    </font>
    <font>
      <sz val="13"/>
      <name val="Times New Roman"/>
      <family val="1"/>
      <charset val="163"/>
    </font>
    <font>
      <i/>
      <sz val="16"/>
      <name val="Times New Roman"/>
      <family val="1"/>
      <charset val="163"/>
    </font>
    <font>
      <sz val="26"/>
      <name val="Times New Roman"/>
      <family val="1"/>
      <charset val="163"/>
    </font>
    <font>
      <sz val="10"/>
      <name val="Times New Roman"/>
      <family val="1"/>
      <charset val="163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Times New Roman"/>
      <family val="1"/>
      <charset val="163"/>
    </font>
    <font>
      <b/>
      <sz val="16"/>
      <color rgb="FFFF0000"/>
      <name val="Times New Roman"/>
      <family val="1"/>
      <charset val="163"/>
    </font>
    <font>
      <i/>
      <sz val="24"/>
      <name val="Times New Roman"/>
      <family val="1"/>
      <charset val="163"/>
    </font>
    <font>
      <sz val="18"/>
      <name val="Times New Roman"/>
      <family val="1"/>
      <charset val="163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9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167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65" fontId="8" fillId="0" borderId="0" xfId="0" applyNumberFormat="1" applyFont="1" applyAlignment="1">
      <alignment vertical="center"/>
    </xf>
    <xf numFmtId="0" fontId="11" fillId="0" borderId="11" xfId="0" applyFont="1" applyBorder="1" applyAlignment="1">
      <alignment horizontal="right" vertical="center" wrapText="1"/>
    </xf>
    <xf numFmtId="0" fontId="11" fillId="0" borderId="11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165" fontId="11" fillId="0" borderId="11" xfId="1" applyNumberFormat="1" applyFont="1" applyFill="1" applyBorder="1" applyAlignment="1">
      <alignment horizontal="right" vertical="center" wrapText="1"/>
    </xf>
    <xf numFmtId="165" fontId="11" fillId="0" borderId="11" xfId="1" applyNumberFormat="1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65" fontId="12" fillId="0" borderId="11" xfId="1" applyNumberFormat="1" applyFont="1" applyFill="1" applyBorder="1" applyAlignment="1">
      <alignment horizontal="center" vertical="center"/>
    </xf>
    <xf numFmtId="165" fontId="13" fillId="0" borderId="11" xfId="1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10" fillId="0" borderId="11" xfId="1" applyNumberFormat="1" applyFont="1" applyFill="1" applyBorder="1" applyAlignment="1">
      <alignment vertical="center" wrapText="1"/>
    </xf>
    <xf numFmtId="165" fontId="11" fillId="0" borderId="11" xfId="1" applyNumberFormat="1" applyFont="1" applyFill="1" applyBorder="1" applyAlignment="1">
      <alignment horizontal="right" vertical="center"/>
    </xf>
    <xf numFmtId="0" fontId="14" fillId="0" borderId="11" xfId="0" applyFont="1" applyBorder="1" applyAlignment="1">
      <alignment horizontal="center" vertical="center" wrapText="1"/>
    </xf>
    <xf numFmtId="165" fontId="12" fillId="0" borderId="11" xfId="1" applyNumberFormat="1" applyFont="1" applyFill="1" applyBorder="1" applyAlignment="1">
      <alignment horizontal="center" vertical="center" wrapText="1"/>
    </xf>
    <xf numFmtId="165" fontId="13" fillId="0" borderId="11" xfId="1" applyNumberFormat="1" applyFont="1" applyFill="1" applyBorder="1" applyAlignment="1">
      <alignment vertical="center" wrapText="1"/>
    </xf>
    <xf numFmtId="0" fontId="11" fillId="0" borderId="11" xfId="0" applyFont="1" applyBorder="1" applyAlignment="1">
      <alignment horizontal="right" vertical="center"/>
    </xf>
    <xf numFmtId="0" fontId="11" fillId="0" borderId="11" xfId="0" applyFont="1" applyBorder="1" applyAlignment="1">
      <alignment vertical="center"/>
    </xf>
    <xf numFmtId="0" fontId="5" fillId="0" borderId="11" xfId="3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 shrinkToFit="1"/>
    </xf>
    <xf numFmtId="0" fontId="11" fillId="0" borderId="11" xfId="0" applyFont="1" applyBorder="1" applyAlignment="1">
      <alignment horizontal="left" vertical="center" wrapText="1"/>
    </xf>
    <xf numFmtId="0" fontId="5" fillId="0" borderId="11" xfId="2" applyFont="1" applyBorder="1" applyAlignment="1">
      <alignment horizontal="left" vertical="center" wrapText="1"/>
    </xf>
    <xf numFmtId="0" fontId="11" fillId="0" borderId="11" xfId="2" applyFont="1" applyBorder="1" applyAlignment="1">
      <alignment horizontal="left" vertical="center" wrapText="1"/>
    </xf>
    <xf numFmtId="165" fontId="11" fillId="0" borderId="11" xfId="1" applyNumberFormat="1" applyFont="1" applyFill="1" applyBorder="1" applyAlignment="1">
      <alignment horizontal="center" vertical="center"/>
    </xf>
    <xf numFmtId="165" fontId="8" fillId="0" borderId="1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5" fontId="12" fillId="0" borderId="11" xfId="1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165" fontId="8" fillId="0" borderId="11" xfId="1" applyNumberFormat="1" applyFont="1" applyFill="1" applyBorder="1" applyAlignment="1">
      <alignment vertical="center" wrapText="1"/>
    </xf>
    <xf numFmtId="165" fontId="11" fillId="0" borderId="11" xfId="1" applyNumberFormat="1" applyFont="1" applyFill="1" applyBorder="1" applyAlignment="1">
      <alignment horizontal="center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 wrapText="1"/>
    </xf>
    <xf numFmtId="165" fontId="5" fillId="0" borderId="11" xfId="0" applyNumberFormat="1" applyFont="1" applyBorder="1" applyAlignment="1">
      <alignment horizontal="right" vertical="center" wrapText="1"/>
    </xf>
    <xf numFmtId="165" fontId="5" fillId="0" borderId="11" xfId="1" applyNumberFormat="1" applyFont="1" applyFill="1" applyBorder="1" applyAlignment="1">
      <alignment horizontal="right" vertical="center" wrapText="1"/>
    </xf>
    <xf numFmtId="165" fontId="5" fillId="0" borderId="11" xfId="1" applyNumberFormat="1" applyFont="1" applyFill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right" vertical="center" wrapText="1"/>
    </xf>
    <xf numFmtId="165" fontId="12" fillId="0" borderId="11" xfId="1" applyNumberFormat="1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165" fontId="12" fillId="0" borderId="11" xfId="1" applyNumberFormat="1" applyFont="1" applyFill="1" applyBorder="1" applyAlignment="1">
      <alignment horizontal="right" vertical="center"/>
    </xf>
    <xf numFmtId="165" fontId="13" fillId="0" borderId="11" xfId="1" applyNumberFormat="1" applyFont="1" applyFill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vertical="center"/>
    </xf>
    <xf numFmtId="165" fontId="5" fillId="0" borderId="11" xfId="1" applyNumberFormat="1" applyFont="1" applyFill="1" applyBorder="1" applyAlignment="1">
      <alignment horizontal="right" vertical="center"/>
    </xf>
    <xf numFmtId="165" fontId="8" fillId="0" borderId="11" xfId="1" applyNumberFormat="1" applyFont="1" applyFill="1" applyBorder="1" applyAlignment="1">
      <alignment horizontal="right" vertical="center"/>
    </xf>
    <xf numFmtId="0" fontId="8" fillId="0" borderId="11" xfId="0" applyFont="1" applyBorder="1" applyAlignment="1">
      <alignment horizontal="right" vertical="center"/>
    </xf>
    <xf numFmtId="165" fontId="11" fillId="0" borderId="11" xfId="1" applyNumberFormat="1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right"/>
    </xf>
    <xf numFmtId="0" fontId="10" fillId="0" borderId="11" xfId="0" applyFont="1" applyBorder="1" applyAlignment="1">
      <alignment vertical="center" wrapText="1"/>
    </xf>
    <xf numFmtId="165" fontId="12" fillId="0" borderId="11" xfId="1" applyNumberFormat="1" applyFont="1" applyFill="1" applyBorder="1" applyAlignment="1">
      <alignment vertical="center"/>
    </xf>
    <xf numFmtId="165" fontId="13" fillId="0" borderId="11" xfId="1" applyNumberFormat="1" applyFont="1" applyFill="1" applyBorder="1" applyAlignment="1">
      <alignment vertical="center"/>
    </xf>
    <xf numFmtId="1" fontId="11" fillId="0" borderId="11" xfId="0" applyNumberFormat="1" applyFont="1" applyBorder="1" applyAlignment="1">
      <alignment horizontal="center" vertical="center" wrapText="1"/>
    </xf>
    <xf numFmtId="0" fontId="11" fillId="0" borderId="11" xfId="0" quotePrefix="1" applyFont="1" applyBorder="1" applyAlignment="1">
      <alignment horizontal="center" vertical="center" wrapText="1"/>
    </xf>
    <xf numFmtId="165" fontId="8" fillId="0" borderId="11" xfId="1" applyNumberFormat="1" applyFont="1" applyFill="1" applyBorder="1" applyAlignment="1">
      <alignment horizontal="center" vertical="center"/>
    </xf>
    <xf numFmtId="165" fontId="14" fillId="0" borderId="11" xfId="1" applyNumberFormat="1" applyFont="1" applyFill="1" applyBorder="1" applyAlignment="1">
      <alignment horizontal="right" vertical="center" wrapText="1"/>
    </xf>
    <xf numFmtId="165" fontId="14" fillId="0" borderId="11" xfId="1" applyNumberFormat="1" applyFont="1" applyFill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0" fontId="15" fillId="0" borderId="11" xfId="0" quotePrefix="1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65" fontId="8" fillId="0" borderId="11" xfId="1" applyNumberFormat="1" applyFont="1" applyFill="1" applyBorder="1" applyAlignment="1">
      <alignment horizontal="left" vertical="center" wrapText="1"/>
    </xf>
    <xf numFmtId="165" fontId="8" fillId="0" borderId="11" xfId="1" applyNumberFormat="1" applyFont="1" applyFill="1" applyBorder="1" applyAlignment="1">
      <alignment vertical="top" wrapText="1"/>
    </xf>
    <xf numFmtId="165" fontId="8" fillId="0" borderId="11" xfId="1" applyNumberFormat="1" applyFont="1" applyFill="1" applyBorder="1" applyAlignment="1">
      <alignment vertical="center"/>
    </xf>
    <xf numFmtId="0" fontId="8" fillId="0" borderId="11" xfId="0" applyFont="1" applyBorder="1" applyAlignment="1">
      <alignment vertical="top" wrapText="1"/>
    </xf>
    <xf numFmtId="165" fontId="8" fillId="0" borderId="11" xfId="1" applyNumberFormat="1" applyFont="1" applyFill="1" applyBorder="1" applyAlignment="1">
      <alignment vertical="top"/>
    </xf>
    <xf numFmtId="165" fontId="8" fillId="0" borderId="11" xfId="1" applyNumberFormat="1" applyFont="1" applyFill="1" applyBorder="1" applyAlignment="1">
      <alignment horizontal="center" vertical="top"/>
    </xf>
    <xf numFmtId="0" fontId="20" fillId="0" borderId="11" xfId="0" applyFont="1" applyBorder="1" applyAlignment="1">
      <alignment horizontal="center" vertical="top" wrapText="1"/>
    </xf>
    <xf numFmtId="165" fontId="8" fillId="0" borderId="11" xfId="1" applyNumberFormat="1" applyFont="1" applyFill="1" applyBorder="1" applyAlignment="1">
      <alignment horizontal="right" vertical="top"/>
    </xf>
    <xf numFmtId="3" fontId="8" fillId="0" borderId="11" xfId="0" applyNumberFormat="1" applyFont="1" applyBorder="1" applyAlignment="1">
      <alignment horizontal="center" vertical="top" wrapText="1"/>
    </xf>
    <xf numFmtId="165" fontId="8" fillId="0" borderId="11" xfId="1" applyNumberFormat="1" applyFont="1" applyFill="1" applyBorder="1" applyAlignment="1">
      <alignment horizontal="right" vertical="top" wrapText="1"/>
    </xf>
    <xf numFmtId="0" fontId="8" fillId="0" borderId="11" xfId="0" applyFont="1" applyBorder="1" applyAlignment="1">
      <alignment horizontal="center" vertical="top" wrapText="1"/>
    </xf>
    <xf numFmtId="165" fontId="20" fillId="0" borderId="11" xfId="1" applyNumberFormat="1" applyFont="1" applyFill="1" applyBorder="1" applyAlignment="1">
      <alignment horizontal="center" vertical="top"/>
    </xf>
    <xf numFmtId="0" fontId="9" fillId="0" borderId="11" xfId="0" applyFont="1" applyBorder="1" applyAlignment="1">
      <alignment horizontal="center" vertical="top" wrapText="1"/>
    </xf>
    <xf numFmtId="165" fontId="11" fillId="0" borderId="11" xfId="1" applyNumberFormat="1" applyFont="1" applyFill="1" applyBorder="1" applyAlignment="1">
      <alignment vertical="top" wrapText="1"/>
    </xf>
    <xf numFmtId="0" fontId="9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165" fontId="17" fillId="0" borderId="11" xfId="4" applyNumberFormat="1" applyFont="1" applyFill="1" applyBorder="1" applyAlignment="1">
      <alignment horizontal="center" vertical="center" wrapText="1"/>
    </xf>
    <xf numFmtId="165" fontId="20" fillId="0" borderId="11" xfId="1" applyNumberFormat="1" applyFont="1" applyFill="1" applyBorder="1" applyAlignment="1">
      <alignment vertical="center" wrapText="1"/>
    </xf>
    <xf numFmtId="165" fontId="20" fillId="0" borderId="11" xfId="1" applyNumberFormat="1" applyFont="1" applyFill="1" applyBorder="1" applyAlignment="1">
      <alignment horizontal="center" vertical="center" wrapText="1"/>
    </xf>
    <xf numFmtId="165" fontId="9" fillId="0" borderId="11" xfId="4" applyNumberFormat="1" applyFont="1" applyFill="1" applyBorder="1" applyAlignment="1">
      <alignment horizontal="center" vertical="top" wrapText="1"/>
    </xf>
    <xf numFmtId="165" fontId="9" fillId="0" borderId="11" xfId="1" applyNumberFormat="1" applyFont="1" applyFill="1" applyBorder="1" applyAlignment="1">
      <alignment horizontal="right" vertical="top" wrapText="1"/>
    </xf>
    <xf numFmtId="165" fontId="10" fillId="0" borderId="11" xfId="0" applyNumberFormat="1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/>
    </xf>
    <xf numFmtId="165" fontId="10" fillId="0" borderId="11" xfId="1" applyNumberFormat="1" applyFont="1" applyFill="1" applyBorder="1" applyAlignment="1">
      <alignment horizontal="right" vertical="center"/>
    </xf>
    <xf numFmtId="165" fontId="10" fillId="0" borderId="11" xfId="1" applyNumberFormat="1" applyFont="1" applyFill="1" applyBorder="1" applyAlignment="1">
      <alignment horizontal="right" vertical="top"/>
    </xf>
    <xf numFmtId="0" fontId="10" fillId="0" borderId="11" xfId="0" applyFont="1" applyBorder="1" applyAlignment="1">
      <alignment horizontal="right" vertical="center" wrapText="1"/>
    </xf>
    <xf numFmtId="0" fontId="10" fillId="0" borderId="11" xfId="0" applyFont="1" applyBorder="1" applyAlignment="1">
      <alignment vertical="center"/>
    </xf>
    <xf numFmtId="165" fontId="10" fillId="0" borderId="11" xfId="1" applyNumberFormat="1" applyFont="1" applyFill="1" applyBorder="1" applyAlignment="1">
      <alignment vertical="center"/>
    </xf>
    <xf numFmtId="165" fontId="8" fillId="0" borderId="11" xfId="0" applyNumberFormat="1" applyFont="1" applyBorder="1" applyAlignment="1">
      <alignment horizontal="left" vertical="center" wrapText="1"/>
    </xf>
    <xf numFmtId="165" fontId="9" fillId="0" borderId="11" xfId="1" applyNumberFormat="1" applyFont="1" applyFill="1" applyBorder="1" applyAlignment="1">
      <alignment vertical="center" wrapText="1"/>
    </xf>
    <xf numFmtId="165" fontId="9" fillId="0" borderId="11" xfId="1" applyNumberFormat="1" applyFont="1" applyFill="1" applyBorder="1" applyAlignment="1">
      <alignment horizontal="right" vertical="top"/>
    </xf>
    <xf numFmtId="0" fontId="9" fillId="0" borderId="11" xfId="5" applyFont="1" applyBorder="1" applyAlignment="1">
      <alignment horizontal="center" vertical="top" wrapText="1"/>
    </xf>
    <xf numFmtId="1" fontId="9" fillId="0" borderId="11" xfId="6" applyNumberFormat="1" applyFont="1" applyBorder="1" applyAlignment="1">
      <alignment horizontal="center" vertical="top" wrapText="1"/>
    </xf>
    <xf numFmtId="165" fontId="10" fillId="0" borderId="11" xfId="1" applyNumberFormat="1" applyFont="1" applyFill="1" applyBorder="1" applyAlignment="1">
      <alignment horizontal="right" vertical="center" wrapText="1"/>
    </xf>
    <xf numFmtId="165" fontId="13" fillId="0" borderId="11" xfId="1" applyNumberFormat="1" applyFont="1" applyFill="1" applyBorder="1" applyAlignment="1">
      <alignment horizontal="right" vertical="center" wrapText="1"/>
    </xf>
    <xf numFmtId="0" fontId="14" fillId="0" borderId="11" xfId="0" applyFont="1" applyBorder="1" applyAlignment="1">
      <alignment horizontal="justify" vertical="center" wrapText="1"/>
    </xf>
    <xf numFmtId="165" fontId="11" fillId="0" borderId="11" xfId="1" applyNumberFormat="1" applyFont="1" applyFill="1" applyBorder="1" applyAlignment="1">
      <alignment horizontal="right" vertical="top" wrapText="1"/>
    </xf>
    <xf numFmtId="165" fontId="21" fillId="0" borderId="11" xfId="1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9" fillId="0" borderId="8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9">
    <cellStyle name="Comma" xfId="1" builtinId="3"/>
    <cellStyle name="Comma 10 10" xfId="4"/>
    <cellStyle name="Comma 2" xfId="7"/>
    <cellStyle name="Comma 3" xfId="8"/>
    <cellStyle name="Normal" xfId="0" builtinId="0"/>
    <cellStyle name="Normal 10 2" xfId="5"/>
    <cellStyle name="Normal 2" xfId="2"/>
    <cellStyle name="Normal 2_DM KCH 2016-2020 tong hop toan Tinh lấy ý kiến cấp huyện phuong an 1400 ty dong - gui a Cuong" xfId="3"/>
    <cellStyle name="Normal_Bieu mau (CV )" xfId="6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shiba\Documents\Zalo%20Received%20Files\3.1.%20PL%20kem%20theo%20Nghi%20quyet%20so%2023%20Giang%20g&#7917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34 (2)"/>
      <sheetName val="BM38.b (2)"/>
      <sheetName val="BM23(TD)"/>
      <sheetName val="BM24"/>
      <sheetName val="ODAKH NSNN"/>
      <sheetName val="NC07 TH TPCP"/>
      <sheetName val="NC08 TPCP KH"/>
      <sheetName val="NC11 PPP"/>
      <sheetName val="BM18 BC nam DP"/>
      <sheetName val="Quy2THDP"/>
      <sheetName val="Quy2TPCPDP"/>
      <sheetName val="Quy2von khac Dp"/>
      <sheetName val="2023 (NSTT)"/>
      <sheetName val="2023 (SDD)"/>
      <sheetName val="2023 Ket du"/>
      <sheetName val="2023 tang thu"/>
      <sheetName val="BM3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1">
          <cell r="K21">
            <v>21911.874</v>
          </cell>
        </row>
        <row r="38">
          <cell r="M38">
            <v>2000</v>
          </cell>
        </row>
        <row r="42">
          <cell r="M42">
            <v>2500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016"/>
  <sheetViews>
    <sheetView tabSelected="1" zoomScale="55" zoomScaleNormal="55" workbookViewId="0">
      <pane ySplit="10" topLeftCell="A362" activePane="bottomLeft" state="frozen"/>
      <selection pane="bottomLeft" activeCell="AC8" sqref="AC8"/>
    </sheetView>
  </sheetViews>
  <sheetFormatPr defaultColWidth="14.42578125" defaultRowHeight="18.75" x14ac:dyDescent="0.25"/>
  <cols>
    <col min="1" max="1" width="8" style="31" customWidth="1"/>
    <col min="2" max="2" width="42.42578125" style="36" customWidth="1"/>
    <col min="3" max="3" width="8.7109375" style="31" customWidth="1"/>
    <col min="4" max="4" width="10.5703125" style="31" customWidth="1"/>
    <col min="5" max="5" width="11" style="31" customWidth="1"/>
    <col min="6" max="6" width="13" style="31" customWidth="1"/>
    <col min="7" max="7" width="16.42578125" style="31" customWidth="1"/>
    <col min="8" max="8" width="17.140625" style="31" customWidth="1"/>
    <col min="9" max="9" width="13.7109375" style="31" customWidth="1"/>
    <col min="10" max="10" width="14.42578125" style="31" customWidth="1"/>
    <col min="11" max="11" width="16.5703125" style="31" customWidth="1"/>
    <col min="12" max="12" width="13.5703125" style="31" customWidth="1"/>
    <col min="13" max="13" width="9.7109375" style="31" customWidth="1"/>
    <col min="14" max="15" width="10.42578125" style="31" customWidth="1"/>
    <col min="16" max="16" width="20" style="36" customWidth="1"/>
    <col min="17" max="17" width="25.42578125" style="31" hidden="1" customWidth="1"/>
    <col min="18" max="18" width="19.42578125" style="31" hidden="1" customWidth="1"/>
    <col min="19" max="19" width="19" style="31" hidden="1" customWidth="1"/>
    <col min="20" max="20" width="17.28515625" style="31" hidden="1" customWidth="1"/>
    <col min="21" max="21" width="14.140625" style="31" hidden="1" customWidth="1"/>
    <col min="22" max="22" width="12.7109375" style="31" hidden="1" customWidth="1"/>
    <col min="23" max="23" width="17.42578125" style="31" hidden="1" customWidth="1"/>
    <col min="24" max="24" width="19.28515625" style="31" hidden="1" customWidth="1"/>
    <col min="25" max="25" width="19" style="31" hidden="1" customWidth="1"/>
    <col min="26" max="26" width="15" style="31" hidden="1" customWidth="1"/>
    <col min="27" max="27" width="16.42578125" style="31" customWidth="1"/>
    <col min="28" max="28" width="15.7109375" style="31" customWidth="1"/>
    <col min="29" max="29" width="17.7109375" style="31" customWidth="1"/>
    <col min="30" max="30" width="20" style="31" hidden="1" customWidth="1"/>
    <col min="31" max="31" width="18.140625" style="31" hidden="1" customWidth="1"/>
    <col min="32" max="32" width="16.42578125" style="31" hidden="1" customWidth="1"/>
    <col min="33" max="36" width="17.28515625" style="31" hidden="1" customWidth="1"/>
    <col min="37" max="37" width="14.42578125" style="1"/>
    <col min="38" max="38" width="18.85546875" style="31" customWidth="1"/>
    <col min="39" max="16384" width="14.42578125" style="31"/>
  </cols>
  <sheetData>
    <row r="1" spans="1:38" ht="29.25" customHeight="1" x14ac:dyDescent="0.25">
      <c r="A1" s="139" t="s">
        <v>461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</row>
    <row r="2" spans="1:38" s="32" customFormat="1" ht="60.75" customHeight="1" x14ac:dyDescent="0.25">
      <c r="A2" s="140" t="s">
        <v>459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"/>
    </row>
    <row r="3" spans="1:38" s="32" customFormat="1" ht="48.75" customHeight="1" x14ac:dyDescent="0.25">
      <c r="A3" s="141" t="s">
        <v>462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"/>
    </row>
    <row r="4" spans="1:38" ht="31.5" customHeight="1" x14ac:dyDescent="0.25">
      <c r="A4" s="1"/>
      <c r="B4" s="2"/>
      <c r="C4" s="1"/>
      <c r="D4" s="1"/>
      <c r="E4" s="1"/>
      <c r="F4" s="1"/>
      <c r="G4" s="1"/>
      <c r="H4" s="3"/>
      <c r="I4" s="1"/>
      <c r="J4" s="1"/>
      <c r="K4" s="1"/>
      <c r="L4" s="1"/>
      <c r="M4" s="1"/>
      <c r="N4" s="3"/>
      <c r="O4" s="1"/>
      <c r="P4" s="2"/>
      <c r="Q4" s="3"/>
      <c r="R4" s="3"/>
      <c r="S4" s="3"/>
      <c r="T4" s="3"/>
      <c r="U4" s="3"/>
      <c r="V4" s="3"/>
      <c r="W4" s="1"/>
      <c r="X4" s="3"/>
      <c r="Y4" s="1"/>
      <c r="Z4" s="1"/>
      <c r="AA4" s="1"/>
      <c r="AB4" s="122" t="s">
        <v>460</v>
      </c>
      <c r="AC4" s="122"/>
      <c r="AD4" s="3"/>
      <c r="AE4" s="1"/>
      <c r="AF4" s="1"/>
      <c r="AG4" s="1"/>
      <c r="AH4" s="1"/>
      <c r="AI4" s="3"/>
      <c r="AJ4" s="1"/>
    </row>
    <row r="5" spans="1:38" ht="32.25" customHeight="1" x14ac:dyDescent="0.25">
      <c r="A5" s="128" t="s">
        <v>0</v>
      </c>
      <c r="B5" s="128" t="s">
        <v>1</v>
      </c>
      <c r="C5" s="144" t="s">
        <v>455</v>
      </c>
      <c r="D5" s="145"/>
      <c r="E5" s="145"/>
      <c r="F5" s="145"/>
      <c r="G5" s="145"/>
      <c r="H5" s="145"/>
      <c r="I5" s="145"/>
      <c r="J5" s="145"/>
      <c r="K5" s="145"/>
      <c r="L5" s="145"/>
      <c r="M5" s="146" t="s">
        <v>294</v>
      </c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8"/>
      <c r="AD5" s="123" t="s">
        <v>442</v>
      </c>
      <c r="AE5" s="123"/>
      <c r="AF5" s="123"/>
      <c r="AG5" s="123"/>
      <c r="AH5" s="123"/>
      <c r="AI5" s="123"/>
      <c r="AJ5" s="123"/>
    </row>
    <row r="6" spans="1:38" ht="32.25" customHeight="1" x14ac:dyDescent="0.25">
      <c r="A6" s="127"/>
      <c r="B6" s="143"/>
      <c r="C6" s="146" t="s">
        <v>2</v>
      </c>
      <c r="D6" s="147"/>
      <c r="E6" s="147"/>
      <c r="F6" s="148"/>
      <c r="G6" s="149" t="s">
        <v>3</v>
      </c>
      <c r="H6" s="150"/>
      <c r="I6" s="150"/>
      <c r="J6" s="150"/>
      <c r="K6" s="151"/>
      <c r="L6" s="144" t="s">
        <v>4</v>
      </c>
      <c r="M6" s="155" t="s">
        <v>274</v>
      </c>
      <c r="N6" s="157" t="s">
        <v>412</v>
      </c>
      <c r="O6" s="158"/>
      <c r="P6" s="159"/>
      <c r="Q6" s="136" t="s">
        <v>3</v>
      </c>
      <c r="R6" s="136"/>
      <c r="S6" s="136"/>
      <c r="T6" s="136"/>
      <c r="U6" s="124" t="s">
        <v>4</v>
      </c>
      <c r="V6" s="125" t="s">
        <v>5</v>
      </c>
      <c r="W6" s="130" t="s">
        <v>295</v>
      </c>
      <c r="X6" s="131"/>
      <c r="Y6" s="131"/>
      <c r="Z6" s="132"/>
      <c r="AA6" s="160" t="s">
        <v>452</v>
      </c>
      <c r="AB6" s="161"/>
      <c r="AC6" s="162"/>
      <c r="AD6" s="125" t="s">
        <v>6</v>
      </c>
      <c r="AE6" s="124" t="s">
        <v>8</v>
      </c>
      <c r="AF6" s="124"/>
      <c r="AG6" s="124"/>
      <c r="AH6" s="124"/>
      <c r="AI6" s="124"/>
      <c r="AJ6" s="124"/>
    </row>
    <row r="7" spans="1:38" ht="23.25" customHeight="1" x14ac:dyDescent="0.25">
      <c r="A7" s="127"/>
      <c r="B7" s="143"/>
      <c r="C7" s="133" t="s">
        <v>272</v>
      </c>
      <c r="D7" s="133" t="s">
        <v>9</v>
      </c>
      <c r="E7" s="133" t="s">
        <v>10</v>
      </c>
      <c r="F7" s="133" t="s">
        <v>450</v>
      </c>
      <c r="G7" s="128" t="s">
        <v>6</v>
      </c>
      <c r="H7" s="156" t="s">
        <v>11</v>
      </c>
      <c r="I7" s="150"/>
      <c r="J7" s="150"/>
      <c r="K7" s="151"/>
      <c r="L7" s="152"/>
      <c r="M7" s="155"/>
      <c r="N7" s="153" t="s">
        <v>9</v>
      </c>
      <c r="O7" s="133" t="s">
        <v>10</v>
      </c>
      <c r="P7" s="133" t="s">
        <v>451</v>
      </c>
      <c r="Q7" s="128" t="s">
        <v>297</v>
      </c>
      <c r="R7" s="133" t="s">
        <v>6</v>
      </c>
      <c r="S7" s="134" t="s">
        <v>11</v>
      </c>
      <c r="T7" s="135"/>
      <c r="U7" s="137"/>
      <c r="V7" s="126"/>
      <c r="W7" s="133" t="s">
        <v>6</v>
      </c>
      <c r="X7" s="134" t="s">
        <v>11</v>
      </c>
      <c r="Y7" s="135"/>
      <c r="Z7" s="138"/>
      <c r="AA7" s="163" t="s">
        <v>453</v>
      </c>
      <c r="AB7" s="165" t="s">
        <v>8</v>
      </c>
      <c r="AC7" s="166"/>
      <c r="AD7" s="126"/>
      <c r="AE7" s="123"/>
      <c r="AF7" s="123"/>
      <c r="AG7" s="123"/>
      <c r="AH7" s="123"/>
      <c r="AI7" s="123"/>
      <c r="AJ7" s="123"/>
    </row>
    <row r="8" spans="1:38" ht="105" customHeight="1" x14ac:dyDescent="0.25">
      <c r="A8" s="127"/>
      <c r="B8" s="143"/>
      <c r="C8" s="127"/>
      <c r="D8" s="127"/>
      <c r="E8" s="127"/>
      <c r="F8" s="127"/>
      <c r="G8" s="127"/>
      <c r="H8" s="40" t="s">
        <v>293</v>
      </c>
      <c r="I8" s="40" t="s">
        <v>12</v>
      </c>
      <c r="J8" s="40" t="s">
        <v>7</v>
      </c>
      <c r="K8" s="40" t="s">
        <v>13</v>
      </c>
      <c r="L8" s="152"/>
      <c r="M8" s="124"/>
      <c r="N8" s="154"/>
      <c r="O8" s="127"/>
      <c r="P8" s="127"/>
      <c r="Q8" s="129"/>
      <c r="R8" s="127"/>
      <c r="S8" s="40" t="s">
        <v>293</v>
      </c>
      <c r="T8" s="119" t="s">
        <v>7</v>
      </c>
      <c r="U8" s="137"/>
      <c r="V8" s="126"/>
      <c r="W8" s="127"/>
      <c r="X8" s="40" t="s">
        <v>293</v>
      </c>
      <c r="Y8" s="40" t="s">
        <v>7</v>
      </c>
      <c r="Z8" s="40" t="s">
        <v>13</v>
      </c>
      <c r="AA8" s="164"/>
      <c r="AB8" s="120" t="s">
        <v>456</v>
      </c>
      <c r="AC8" s="121" t="s">
        <v>454</v>
      </c>
      <c r="AD8" s="127"/>
      <c r="AE8" s="41" t="s">
        <v>14</v>
      </c>
      <c r="AF8" s="41" t="s">
        <v>15</v>
      </c>
      <c r="AG8" s="44" t="s">
        <v>16</v>
      </c>
      <c r="AH8" s="78" t="s">
        <v>441</v>
      </c>
      <c r="AI8" s="79" t="s">
        <v>439</v>
      </c>
      <c r="AJ8" s="79" t="s">
        <v>440</v>
      </c>
    </row>
    <row r="9" spans="1:38" ht="26.25" customHeight="1" x14ac:dyDescent="0.25">
      <c r="A9" s="42">
        <v>1</v>
      </c>
      <c r="B9" s="42">
        <v>2</v>
      </c>
      <c r="C9" s="42">
        <v>3</v>
      </c>
      <c r="D9" s="42">
        <v>4</v>
      </c>
      <c r="E9" s="42">
        <v>5</v>
      </c>
      <c r="F9" s="42">
        <v>6</v>
      </c>
      <c r="G9" s="42">
        <v>7</v>
      </c>
      <c r="H9" s="42">
        <v>8</v>
      </c>
      <c r="I9" s="42">
        <v>9</v>
      </c>
      <c r="J9" s="42">
        <v>10</v>
      </c>
      <c r="K9" s="42">
        <v>11</v>
      </c>
      <c r="L9" s="42">
        <v>12</v>
      </c>
      <c r="M9" s="42">
        <v>13</v>
      </c>
      <c r="N9" s="42">
        <v>14</v>
      </c>
      <c r="O9" s="42">
        <v>15</v>
      </c>
      <c r="P9" s="42">
        <v>16</v>
      </c>
      <c r="Q9" s="42">
        <v>25</v>
      </c>
      <c r="R9" s="42">
        <v>26</v>
      </c>
      <c r="S9" s="42">
        <v>27</v>
      </c>
      <c r="T9" s="42">
        <v>28</v>
      </c>
      <c r="U9" s="42">
        <v>29</v>
      </c>
      <c r="V9" s="42">
        <v>30</v>
      </c>
      <c r="W9" s="42">
        <v>31</v>
      </c>
      <c r="X9" s="42">
        <v>32</v>
      </c>
      <c r="Y9" s="42">
        <v>33</v>
      </c>
      <c r="Z9" s="42">
        <v>34</v>
      </c>
      <c r="AA9" s="42">
        <v>17</v>
      </c>
      <c r="AB9" s="42">
        <v>18</v>
      </c>
      <c r="AC9" s="42">
        <v>19</v>
      </c>
      <c r="AD9" s="42">
        <v>39</v>
      </c>
      <c r="AE9" s="42">
        <v>40</v>
      </c>
      <c r="AF9" s="42">
        <v>41</v>
      </c>
      <c r="AG9" s="42">
        <v>42</v>
      </c>
      <c r="AH9" s="42">
        <v>43</v>
      </c>
      <c r="AI9" s="42">
        <v>44</v>
      </c>
      <c r="AJ9" s="42">
        <v>45</v>
      </c>
    </row>
    <row r="10" spans="1:38" ht="26.25" customHeight="1" x14ac:dyDescent="0.25">
      <c r="A10" s="11"/>
      <c r="B10" s="11" t="s">
        <v>285</v>
      </c>
      <c r="C10" s="45">
        <f>C11+C12+C13+C14</f>
        <v>196</v>
      </c>
      <c r="D10" s="45">
        <f t="shared" ref="D10:AJ10" si="0">D11+D12+D13+D14</f>
        <v>1403</v>
      </c>
      <c r="E10" s="45">
        <f t="shared" si="0"/>
        <v>3020</v>
      </c>
      <c r="F10" s="45">
        <f t="shared" si="0"/>
        <v>0</v>
      </c>
      <c r="G10" s="45">
        <f t="shared" si="0"/>
        <v>3617676</v>
      </c>
      <c r="H10" s="45">
        <f t="shared" si="0"/>
        <v>2181135</v>
      </c>
      <c r="I10" s="45">
        <f t="shared" si="0"/>
        <v>99806</v>
      </c>
      <c r="J10" s="45">
        <f t="shared" si="0"/>
        <v>92996</v>
      </c>
      <c r="K10" s="45">
        <f t="shared" si="0"/>
        <v>1243739</v>
      </c>
      <c r="L10" s="45">
        <f t="shared" si="0"/>
        <v>10112</v>
      </c>
      <c r="M10" s="45">
        <f t="shared" si="0"/>
        <v>195</v>
      </c>
      <c r="N10" s="45">
        <f t="shared" si="0"/>
        <v>1570</v>
      </c>
      <c r="O10" s="45">
        <f t="shared" si="0"/>
        <v>3124</v>
      </c>
      <c r="P10" s="45">
        <f t="shared" si="0"/>
        <v>0</v>
      </c>
      <c r="Q10" s="45">
        <f t="shared" si="0"/>
        <v>0</v>
      </c>
      <c r="R10" s="16">
        <f t="shared" si="0"/>
        <v>5565214.8689999999</v>
      </c>
      <c r="S10" s="16">
        <f t="shared" si="0"/>
        <v>4812569</v>
      </c>
      <c r="T10" s="16">
        <f t="shared" si="0"/>
        <v>752645.86899999995</v>
      </c>
      <c r="U10" s="45">
        <f t="shared" si="0"/>
        <v>12135</v>
      </c>
      <c r="V10" s="45">
        <f t="shared" si="0"/>
        <v>29</v>
      </c>
      <c r="W10" s="16">
        <f t="shared" si="0"/>
        <v>5029715.1339999996</v>
      </c>
      <c r="X10" s="16">
        <f t="shared" si="0"/>
        <v>4494958.7010000004</v>
      </c>
      <c r="Y10" s="16">
        <f t="shared" si="0"/>
        <v>534756.43299999996</v>
      </c>
      <c r="Z10" s="16">
        <f t="shared" si="0"/>
        <v>0</v>
      </c>
      <c r="AA10" s="16">
        <f t="shared" si="0"/>
        <v>3053098.7999200001</v>
      </c>
      <c r="AB10" s="16">
        <f t="shared" si="0"/>
        <v>2723064.9360000002</v>
      </c>
      <c r="AC10" s="16">
        <f t="shared" si="0"/>
        <v>330033.86392000003</v>
      </c>
      <c r="AD10" s="117" t="e">
        <f t="shared" si="0"/>
        <v>#REF!</v>
      </c>
      <c r="AE10" s="16" t="e">
        <f t="shared" si="0"/>
        <v>#REF!</v>
      </c>
      <c r="AF10" s="16" t="e">
        <f t="shared" si="0"/>
        <v>#REF!</v>
      </c>
      <c r="AG10" s="16" t="e">
        <f t="shared" si="0"/>
        <v>#REF!</v>
      </c>
      <c r="AH10" s="16" t="e">
        <f t="shared" si="0"/>
        <v>#REF!</v>
      </c>
      <c r="AI10" s="16" t="e">
        <f t="shared" si="0"/>
        <v>#REF!</v>
      </c>
      <c r="AJ10" s="16" t="e">
        <f t="shared" si="0"/>
        <v>#REF!</v>
      </c>
      <c r="AK10" s="3"/>
      <c r="AL10" s="118"/>
    </row>
    <row r="11" spans="1:38" ht="26.25" customHeight="1" x14ac:dyDescent="0.25">
      <c r="A11" s="11"/>
      <c r="B11" s="46" t="s">
        <v>29</v>
      </c>
      <c r="C11" s="45">
        <f t="shared" ref="C11:AJ11" si="1">C16+C249+C341</f>
        <v>63</v>
      </c>
      <c r="D11" s="45">
        <f t="shared" si="1"/>
        <v>385</v>
      </c>
      <c r="E11" s="45">
        <f t="shared" si="1"/>
        <v>645</v>
      </c>
      <c r="F11" s="45">
        <f t="shared" si="1"/>
        <v>0</v>
      </c>
      <c r="G11" s="45">
        <f t="shared" si="1"/>
        <v>1146937</v>
      </c>
      <c r="H11" s="45">
        <f t="shared" si="1"/>
        <v>732400</v>
      </c>
      <c r="I11" s="45">
        <f t="shared" si="1"/>
        <v>0</v>
      </c>
      <c r="J11" s="45">
        <f t="shared" si="1"/>
        <v>24377</v>
      </c>
      <c r="K11" s="45">
        <f t="shared" si="1"/>
        <v>390160</v>
      </c>
      <c r="L11" s="45">
        <f t="shared" si="1"/>
        <v>10112</v>
      </c>
      <c r="M11" s="45">
        <f t="shared" si="1"/>
        <v>59</v>
      </c>
      <c r="N11" s="45">
        <f t="shared" si="1"/>
        <v>411</v>
      </c>
      <c r="O11" s="45">
        <f t="shared" si="1"/>
        <v>646</v>
      </c>
      <c r="P11" s="45">
        <f t="shared" si="1"/>
        <v>0</v>
      </c>
      <c r="Q11" s="45">
        <f t="shared" si="1"/>
        <v>0</v>
      </c>
      <c r="R11" s="16">
        <f t="shared" si="1"/>
        <v>1523446</v>
      </c>
      <c r="S11" s="16">
        <f t="shared" si="1"/>
        <v>1344710</v>
      </c>
      <c r="T11" s="16">
        <f t="shared" si="1"/>
        <v>178736</v>
      </c>
      <c r="U11" s="45">
        <f t="shared" si="1"/>
        <v>12135</v>
      </c>
      <c r="V11" s="45">
        <f t="shared" si="1"/>
        <v>12</v>
      </c>
      <c r="W11" s="16">
        <f t="shared" si="1"/>
        <v>1413538.62</v>
      </c>
      <c r="X11" s="16">
        <f t="shared" si="1"/>
        <v>1244512.442</v>
      </c>
      <c r="Y11" s="16">
        <f t="shared" si="1"/>
        <v>169026.17799999999</v>
      </c>
      <c r="Z11" s="16">
        <f t="shared" si="1"/>
        <v>0</v>
      </c>
      <c r="AA11" s="16">
        <f t="shared" si="1"/>
        <v>765666.25492000009</v>
      </c>
      <c r="AB11" s="16">
        <f t="shared" si="1"/>
        <v>660463.44200000004</v>
      </c>
      <c r="AC11" s="16">
        <f t="shared" si="1"/>
        <v>105202.81292</v>
      </c>
      <c r="AD11" s="16" t="e">
        <f t="shared" si="1"/>
        <v>#REF!</v>
      </c>
      <c r="AE11" s="16" t="e">
        <f t="shared" si="1"/>
        <v>#REF!</v>
      </c>
      <c r="AF11" s="16" t="e">
        <f t="shared" si="1"/>
        <v>#REF!</v>
      </c>
      <c r="AG11" s="16" t="e">
        <f t="shared" si="1"/>
        <v>#REF!</v>
      </c>
      <c r="AH11" s="16" t="e">
        <f t="shared" si="1"/>
        <v>#REF!</v>
      </c>
      <c r="AI11" s="16" t="e">
        <f t="shared" si="1"/>
        <v>#REF!</v>
      </c>
      <c r="AJ11" s="16" t="e">
        <f t="shared" si="1"/>
        <v>#REF!</v>
      </c>
    </row>
    <row r="12" spans="1:38" ht="26.25" customHeight="1" x14ac:dyDescent="0.25">
      <c r="A12" s="11"/>
      <c r="B12" s="46" t="s">
        <v>37</v>
      </c>
      <c r="C12" s="45">
        <f t="shared" ref="C12:AJ12" si="2">C17+C250+C342</f>
        <v>97</v>
      </c>
      <c r="D12" s="45">
        <f t="shared" si="2"/>
        <v>787</v>
      </c>
      <c r="E12" s="45">
        <f t="shared" si="2"/>
        <v>1468</v>
      </c>
      <c r="F12" s="45">
        <f t="shared" si="2"/>
        <v>0</v>
      </c>
      <c r="G12" s="45">
        <f t="shared" si="2"/>
        <v>1545141</v>
      </c>
      <c r="H12" s="45">
        <f t="shared" si="2"/>
        <v>915158</v>
      </c>
      <c r="I12" s="45">
        <f t="shared" si="2"/>
        <v>0</v>
      </c>
      <c r="J12" s="45">
        <f t="shared" si="2"/>
        <v>52563</v>
      </c>
      <c r="K12" s="45">
        <f t="shared" si="2"/>
        <v>577420</v>
      </c>
      <c r="L12" s="45">
        <f t="shared" si="2"/>
        <v>0</v>
      </c>
      <c r="M12" s="45">
        <f t="shared" si="2"/>
        <v>99</v>
      </c>
      <c r="N12" s="45">
        <f t="shared" si="2"/>
        <v>888</v>
      </c>
      <c r="O12" s="45">
        <f t="shared" si="2"/>
        <v>1506</v>
      </c>
      <c r="P12" s="45">
        <f t="shared" si="2"/>
        <v>0</v>
      </c>
      <c r="Q12" s="45">
        <f t="shared" si="2"/>
        <v>0</v>
      </c>
      <c r="R12" s="16">
        <f t="shared" si="2"/>
        <v>2556009.8689999999</v>
      </c>
      <c r="S12" s="16">
        <f t="shared" si="2"/>
        <v>2115828</v>
      </c>
      <c r="T12" s="16">
        <f t="shared" si="2"/>
        <v>440181.86900000001</v>
      </c>
      <c r="U12" s="45">
        <f t="shared" si="2"/>
        <v>0</v>
      </c>
      <c r="V12" s="45">
        <f t="shared" si="2"/>
        <v>7</v>
      </c>
      <c r="W12" s="16">
        <f t="shared" si="2"/>
        <v>2189111.1069999998</v>
      </c>
      <c r="X12" s="16">
        <f t="shared" si="2"/>
        <v>1950571.486</v>
      </c>
      <c r="Y12" s="16">
        <f t="shared" si="2"/>
        <v>238539.62100000001</v>
      </c>
      <c r="Z12" s="16">
        <f t="shared" si="2"/>
        <v>0</v>
      </c>
      <c r="AA12" s="16">
        <f t="shared" si="2"/>
        <v>1414199.9030000002</v>
      </c>
      <c r="AB12" s="16">
        <f t="shared" si="2"/>
        <v>1262112.486</v>
      </c>
      <c r="AC12" s="16">
        <f t="shared" si="2"/>
        <v>152087.41700000002</v>
      </c>
      <c r="AD12" s="16">
        <f t="shared" si="2"/>
        <v>1279612.3330999999</v>
      </c>
      <c r="AE12" s="16">
        <f t="shared" si="2"/>
        <v>284031</v>
      </c>
      <c r="AF12" s="16">
        <f t="shared" si="2"/>
        <v>283366</v>
      </c>
      <c r="AG12" s="16">
        <f t="shared" si="2"/>
        <v>210102</v>
      </c>
      <c r="AH12" s="16">
        <f t="shared" si="2"/>
        <v>146512.33309999999</v>
      </c>
      <c r="AI12" s="16">
        <f t="shared" si="2"/>
        <v>223635</v>
      </c>
      <c r="AJ12" s="16">
        <f t="shared" si="2"/>
        <v>131966</v>
      </c>
      <c r="AK12" s="3"/>
    </row>
    <row r="13" spans="1:38" ht="26.25" customHeight="1" x14ac:dyDescent="0.25">
      <c r="A13" s="11"/>
      <c r="B13" s="46" t="s">
        <v>44</v>
      </c>
      <c r="C13" s="45">
        <f t="shared" ref="C13:AJ13" si="3">C18+C251+C343</f>
        <v>29</v>
      </c>
      <c r="D13" s="45">
        <f t="shared" si="3"/>
        <v>167</v>
      </c>
      <c r="E13" s="45">
        <f t="shared" si="3"/>
        <v>688</v>
      </c>
      <c r="F13" s="45">
        <f t="shared" si="3"/>
        <v>0</v>
      </c>
      <c r="G13" s="45">
        <f t="shared" si="3"/>
        <v>709888</v>
      </c>
      <c r="H13" s="45">
        <f t="shared" si="3"/>
        <v>457134</v>
      </c>
      <c r="I13" s="45">
        <f t="shared" si="3"/>
        <v>0</v>
      </c>
      <c r="J13" s="45">
        <f t="shared" si="3"/>
        <v>16056</v>
      </c>
      <c r="K13" s="45">
        <f t="shared" si="3"/>
        <v>236698</v>
      </c>
      <c r="L13" s="45">
        <f t="shared" si="3"/>
        <v>0</v>
      </c>
      <c r="M13" s="45">
        <f t="shared" si="3"/>
        <v>29</v>
      </c>
      <c r="N13" s="45">
        <f t="shared" si="3"/>
        <v>207</v>
      </c>
      <c r="O13" s="45">
        <f t="shared" si="3"/>
        <v>750</v>
      </c>
      <c r="P13" s="45">
        <f t="shared" si="3"/>
        <v>0</v>
      </c>
      <c r="Q13" s="45">
        <f t="shared" si="3"/>
        <v>0</v>
      </c>
      <c r="R13" s="16">
        <f t="shared" si="3"/>
        <v>1172595</v>
      </c>
      <c r="S13" s="16">
        <f t="shared" si="3"/>
        <v>1038867</v>
      </c>
      <c r="T13" s="16">
        <f t="shared" si="3"/>
        <v>133728</v>
      </c>
      <c r="U13" s="45">
        <f t="shared" si="3"/>
        <v>0</v>
      </c>
      <c r="V13" s="45">
        <f t="shared" si="3"/>
        <v>0</v>
      </c>
      <c r="W13" s="16">
        <f t="shared" si="3"/>
        <v>1073372.4070000001</v>
      </c>
      <c r="X13" s="16">
        <f t="shared" si="3"/>
        <v>946181.77300000004</v>
      </c>
      <c r="Y13" s="16">
        <f t="shared" si="3"/>
        <v>127190.63399999999</v>
      </c>
      <c r="Z13" s="16">
        <f t="shared" si="3"/>
        <v>0</v>
      </c>
      <c r="AA13" s="16">
        <f t="shared" si="3"/>
        <v>659268.64200000011</v>
      </c>
      <c r="AB13" s="16">
        <f t="shared" si="3"/>
        <v>586525.00800000003</v>
      </c>
      <c r="AC13" s="16">
        <f t="shared" si="3"/>
        <v>72743.633999999991</v>
      </c>
      <c r="AD13" s="16">
        <f t="shared" si="3"/>
        <v>597225.00800000003</v>
      </c>
      <c r="AE13" s="16">
        <f t="shared" si="3"/>
        <v>88932</v>
      </c>
      <c r="AF13" s="16">
        <f t="shared" si="3"/>
        <v>109068</v>
      </c>
      <c r="AG13" s="16">
        <f t="shared" si="3"/>
        <v>110436</v>
      </c>
      <c r="AH13" s="16">
        <f t="shared" si="3"/>
        <v>93990.235000000001</v>
      </c>
      <c r="AI13" s="16">
        <f t="shared" si="3"/>
        <v>145098.77299999999</v>
      </c>
      <c r="AJ13" s="16">
        <f t="shared" si="3"/>
        <v>49700</v>
      </c>
    </row>
    <row r="14" spans="1:38" ht="26.25" customHeight="1" x14ac:dyDescent="0.25">
      <c r="A14" s="11"/>
      <c r="B14" s="46" t="s">
        <v>267</v>
      </c>
      <c r="C14" s="45">
        <f t="shared" ref="C14:AJ14" si="4">C19+C252+C344</f>
        <v>7</v>
      </c>
      <c r="D14" s="45">
        <f t="shared" si="4"/>
        <v>64</v>
      </c>
      <c r="E14" s="45">
        <f t="shared" si="4"/>
        <v>219</v>
      </c>
      <c r="F14" s="45">
        <f t="shared" si="4"/>
        <v>0</v>
      </c>
      <c r="G14" s="45">
        <f t="shared" si="4"/>
        <v>215710</v>
      </c>
      <c r="H14" s="45">
        <f t="shared" si="4"/>
        <v>76443</v>
      </c>
      <c r="I14" s="45">
        <f t="shared" si="4"/>
        <v>99806</v>
      </c>
      <c r="J14" s="45">
        <f t="shared" si="4"/>
        <v>0</v>
      </c>
      <c r="K14" s="45">
        <f t="shared" si="4"/>
        <v>39461</v>
      </c>
      <c r="L14" s="45">
        <f t="shared" si="4"/>
        <v>0</v>
      </c>
      <c r="M14" s="45">
        <f t="shared" si="4"/>
        <v>8</v>
      </c>
      <c r="N14" s="45">
        <f t="shared" si="4"/>
        <v>64</v>
      </c>
      <c r="O14" s="45">
        <f t="shared" si="4"/>
        <v>222</v>
      </c>
      <c r="P14" s="45">
        <f t="shared" si="4"/>
        <v>0</v>
      </c>
      <c r="Q14" s="45">
        <f t="shared" si="4"/>
        <v>0</v>
      </c>
      <c r="R14" s="16">
        <f t="shared" si="4"/>
        <v>313164</v>
      </c>
      <c r="S14" s="16">
        <f t="shared" si="4"/>
        <v>313164</v>
      </c>
      <c r="T14" s="16">
        <f t="shared" si="4"/>
        <v>0</v>
      </c>
      <c r="U14" s="45">
        <f t="shared" si="4"/>
        <v>0</v>
      </c>
      <c r="V14" s="45">
        <f t="shared" si="4"/>
        <v>10</v>
      </c>
      <c r="W14" s="16">
        <f t="shared" si="4"/>
        <v>353693</v>
      </c>
      <c r="X14" s="16">
        <f t="shared" si="4"/>
        <v>353693</v>
      </c>
      <c r="Y14" s="16">
        <f t="shared" si="4"/>
        <v>0</v>
      </c>
      <c r="Z14" s="16">
        <f t="shared" si="4"/>
        <v>0</v>
      </c>
      <c r="AA14" s="16">
        <f t="shared" si="4"/>
        <v>213964</v>
      </c>
      <c r="AB14" s="16">
        <f t="shared" si="4"/>
        <v>213964</v>
      </c>
      <c r="AC14" s="16">
        <f t="shared" si="4"/>
        <v>0</v>
      </c>
      <c r="AD14" s="16">
        <f t="shared" si="4"/>
        <v>222598</v>
      </c>
      <c r="AE14" s="16">
        <f t="shared" si="4"/>
        <v>0</v>
      </c>
      <c r="AF14" s="16">
        <f t="shared" si="4"/>
        <v>29100</v>
      </c>
      <c r="AG14" s="16">
        <f t="shared" si="4"/>
        <v>44750</v>
      </c>
      <c r="AH14" s="16">
        <f t="shared" si="4"/>
        <v>10430</v>
      </c>
      <c r="AI14" s="16">
        <f t="shared" si="4"/>
        <v>83250</v>
      </c>
      <c r="AJ14" s="16">
        <f t="shared" si="4"/>
        <v>55068</v>
      </c>
    </row>
    <row r="15" spans="1:38" ht="51" customHeight="1" x14ac:dyDescent="0.25">
      <c r="A15" s="11" t="s">
        <v>284</v>
      </c>
      <c r="B15" s="46" t="s">
        <v>292</v>
      </c>
      <c r="C15" s="48">
        <f>C16+C17+C18+C19</f>
        <v>139</v>
      </c>
      <c r="D15" s="48">
        <f t="shared" ref="D15:AJ15" si="5">D16+D17+D18+D19</f>
        <v>917</v>
      </c>
      <c r="E15" s="48">
        <f t="shared" si="5"/>
        <v>2074</v>
      </c>
      <c r="F15" s="48">
        <f t="shared" si="5"/>
        <v>0</v>
      </c>
      <c r="G15" s="48">
        <f t="shared" si="5"/>
        <v>2413816</v>
      </c>
      <c r="H15" s="48">
        <f t="shared" si="5"/>
        <v>1565994</v>
      </c>
      <c r="I15" s="48">
        <f t="shared" si="5"/>
        <v>31531</v>
      </c>
      <c r="J15" s="48">
        <f t="shared" si="5"/>
        <v>50756</v>
      </c>
      <c r="K15" s="48">
        <f t="shared" si="5"/>
        <v>765535</v>
      </c>
      <c r="L15" s="48">
        <f t="shared" si="5"/>
        <v>10112</v>
      </c>
      <c r="M15" s="48">
        <f t="shared" si="5"/>
        <v>144</v>
      </c>
      <c r="N15" s="48">
        <f t="shared" si="5"/>
        <v>1031</v>
      </c>
      <c r="O15" s="48">
        <f t="shared" si="5"/>
        <v>2198</v>
      </c>
      <c r="P15" s="48">
        <f t="shared" si="5"/>
        <v>0</v>
      </c>
      <c r="Q15" s="48">
        <f t="shared" si="5"/>
        <v>0</v>
      </c>
      <c r="R15" s="49">
        <f t="shared" si="5"/>
        <v>3421130.8689999999</v>
      </c>
      <c r="S15" s="49">
        <f t="shared" si="5"/>
        <v>3043724</v>
      </c>
      <c r="T15" s="49">
        <f t="shared" si="5"/>
        <v>377406.86900000001</v>
      </c>
      <c r="U15" s="48">
        <f t="shared" si="5"/>
        <v>8087</v>
      </c>
      <c r="V15" s="48">
        <f t="shared" si="5"/>
        <v>25</v>
      </c>
      <c r="W15" s="49">
        <f t="shared" si="5"/>
        <v>3115331.1340000001</v>
      </c>
      <c r="X15" s="49">
        <f t="shared" si="5"/>
        <v>2785053.7010000004</v>
      </c>
      <c r="Y15" s="49">
        <f t="shared" si="5"/>
        <v>330277.43299999996</v>
      </c>
      <c r="Z15" s="49">
        <f t="shared" si="5"/>
        <v>0</v>
      </c>
      <c r="AA15" s="49">
        <f t="shared" si="5"/>
        <v>3028598.7999200001</v>
      </c>
      <c r="AB15" s="49">
        <f t="shared" si="5"/>
        <v>2698564.9360000002</v>
      </c>
      <c r="AC15" s="49">
        <f t="shared" si="5"/>
        <v>330033.86392000003</v>
      </c>
      <c r="AD15" s="49">
        <f t="shared" si="5"/>
        <v>2698064.7831000001</v>
      </c>
      <c r="AE15" s="49">
        <f t="shared" si="5"/>
        <v>506948</v>
      </c>
      <c r="AF15" s="49">
        <f t="shared" si="5"/>
        <v>532839</v>
      </c>
      <c r="AG15" s="49">
        <f t="shared" si="5"/>
        <v>477346</v>
      </c>
      <c r="AH15" s="49">
        <f t="shared" si="5"/>
        <v>325647.01009999996</v>
      </c>
      <c r="AI15" s="49">
        <f t="shared" si="5"/>
        <v>561406.77300000004</v>
      </c>
      <c r="AJ15" s="49">
        <f t="shared" si="5"/>
        <v>293878</v>
      </c>
      <c r="AK15" s="3"/>
    </row>
    <row r="16" spans="1:38" ht="37.5" customHeight="1" x14ac:dyDescent="0.25">
      <c r="A16" s="47"/>
      <c r="B16" s="46" t="s">
        <v>29</v>
      </c>
      <c r="C16" s="48">
        <f t="shared" ref="C16:Z16" si="6">C30+C51+C64+C80+C99+C116+C130+C176+C206+C220+C235</f>
        <v>43</v>
      </c>
      <c r="D16" s="48">
        <f t="shared" si="6"/>
        <v>236</v>
      </c>
      <c r="E16" s="48">
        <f t="shared" si="6"/>
        <v>398</v>
      </c>
      <c r="F16" s="48">
        <f t="shared" si="6"/>
        <v>0</v>
      </c>
      <c r="G16" s="48">
        <f t="shared" si="6"/>
        <v>705211</v>
      </c>
      <c r="H16" s="48">
        <f t="shared" si="6"/>
        <v>459389</v>
      </c>
      <c r="I16" s="48">
        <f t="shared" si="6"/>
        <v>0</v>
      </c>
      <c r="J16" s="48">
        <f t="shared" si="6"/>
        <v>14357</v>
      </c>
      <c r="K16" s="48">
        <f t="shared" si="6"/>
        <v>231465</v>
      </c>
      <c r="L16" s="48">
        <f t="shared" si="6"/>
        <v>10112</v>
      </c>
      <c r="M16" s="48">
        <f t="shared" si="6"/>
        <v>43</v>
      </c>
      <c r="N16" s="48">
        <f t="shared" si="6"/>
        <v>249</v>
      </c>
      <c r="O16" s="48">
        <f t="shared" si="6"/>
        <v>434</v>
      </c>
      <c r="P16" s="48">
        <f t="shared" si="6"/>
        <v>0</v>
      </c>
      <c r="Q16" s="48">
        <f t="shared" si="6"/>
        <v>0</v>
      </c>
      <c r="R16" s="49">
        <f t="shared" si="6"/>
        <v>845486</v>
      </c>
      <c r="S16" s="49">
        <f t="shared" si="6"/>
        <v>740941</v>
      </c>
      <c r="T16" s="49">
        <f t="shared" si="6"/>
        <v>104545</v>
      </c>
      <c r="U16" s="48">
        <f t="shared" si="6"/>
        <v>8087</v>
      </c>
      <c r="V16" s="48">
        <f t="shared" si="6"/>
        <v>8</v>
      </c>
      <c r="W16" s="49">
        <f t="shared" si="6"/>
        <v>774614.62</v>
      </c>
      <c r="X16" s="49">
        <f t="shared" si="6"/>
        <v>669412.44200000004</v>
      </c>
      <c r="Y16" s="49">
        <f t="shared" si="6"/>
        <v>105202.17799999999</v>
      </c>
      <c r="Z16" s="49">
        <f t="shared" si="6"/>
        <v>0</v>
      </c>
      <c r="AA16" s="49">
        <f t="shared" ref="AA16:AJ16" si="7">AA30+AA51+AA64+AA80+AA99+AA116+AA130+AA176+AA206+AA220+AA235</f>
        <v>757566.25492000009</v>
      </c>
      <c r="AB16" s="49">
        <f t="shared" si="7"/>
        <v>652363.44200000004</v>
      </c>
      <c r="AC16" s="49">
        <f t="shared" si="7"/>
        <v>105202.81292</v>
      </c>
      <c r="AD16" s="49">
        <f t="shared" si="7"/>
        <v>615029.44200000004</v>
      </c>
      <c r="AE16" s="49">
        <f t="shared" si="7"/>
        <v>133985</v>
      </c>
      <c r="AF16" s="49">
        <f t="shared" si="7"/>
        <v>111305</v>
      </c>
      <c r="AG16" s="49">
        <f t="shared" si="7"/>
        <v>112058</v>
      </c>
      <c r="AH16" s="49">
        <f t="shared" si="7"/>
        <v>74714.441999999995</v>
      </c>
      <c r="AI16" s="49">
        <f t="shared" si="7"/>
        <v>125823</v>
      </c>
      <c r="AJ16" s="49">
        <f t="shared" si="7"/>
        <v>57144</v>
      </c>
    </row>
    <row r="17" spans="1:38" ht="34.5" customHeight="1" x14ac:dyDescent="0.25">
      <c r="A17" s="47"/>
      <c r="B17" s="46" t="s">
        <v>37</v>
      </c>
      <c r="C17" s="48">
        <f t="shared" ref="C17:Z17" si="8">C38+C55+C71+C85+C103+C120+C150+C184+C203+C210+C223+C241</f>
        <v>69</v>
      </c>
      <c r="D17" s="48">
        <f t="shared" si="8"/>
        <v>537</v>
      </c>
      <c r="E17" s="48">
        <f t="shared" si="8"/>
        <v>992</v>
      </c>
      <c r="F17" s="48">
        <f t="shared" si="8"/>
        <v>0</v>
      </c>
      <c r="G17" s="48">
        <f t="shared" si="8"/>
        <v>1043984</v>
      </c>
      <c r="H17" s="48">
        <f t="shared" si="8"/>
        <v>663322</v>
      </c>
      <c r="I17" s="48">
        <f t="shared" si="8"/>
        <v>0</v>
      </c>
      <c r="J17" s="48">
        <f t="shared" si="8"/>
        <v>29403</v>
      </c>
      <c r="K17" s="48">
        <f t="shared" si="8"/>
        <v>351259</v>
      </c>
      <c r="L17" s="48">
        <f t="shared" si="8"/>
        <v>0</v>
      </c>
      <c r="M17" s="48">
        <f t="shared" si="8"/>
        <v>73</v>
      </c>
      <c r="N17" s="48">
        <f t="shared" si="8"/>
        <v>614</v>
      </c>
      <c r="O17" s="48">
        <f t="shared" si="8"/>
        <v>1059</v>
      </c>
      <c r="P17" s="48">
        <f t="shared" si="8"/>
        <v>0</v>
      </c>
      <c r="Q17" s="48">
        <f t="shared" si="8"/>
        <v>0</v>
      </c>
      <c r="R17" s="49">
        <f t="shared" si="8"/>
        <v>1603693.8689999999</v>
      </c>
      <c r="S17" s="49">
        <f t="shared" si="8"/>
        <v>1410113</v>
      </c>
      <c r="T17" s="49">
        <f t="shared" si="8"/>
        <v>193580.86900000001</v>
      </c>
      <c r="U17" s="48">
        <f t="shared" si="8"/>
        <v>0</v>
      </c>
      <c r="V17" s="48">
        <f t="shared" si="8"/>
        <v>7</v>
      </c>
      <c r="W17" s="49">
        <f t="shared" si="8"/>
        <v>1421699.1070000001</v>
      </c>
      <c r="X17" s="49">
        <f t="shared" si="8"/>
        <v>1269367.486</v>
      </c>
      <c r="Y17" s="49">
        <f t="shared" si="8"/>
        <v>152331.62100000001</v>
      </c>
      <c r="Z17" s="49">
        <f t="shared" si="8"/>
        <v>0</v>
      </c>
      <c r="AA17" s="49">
        <f t="shared" ref="AA17:AJ17" si="9">AA38+AA55+AA71+AA85+AA103+AA120+AA150+AA184+AA203+AA210+AA223+AA241</f>
        <v>1403399.9030000002</v>
      </c>
      <c r="AB17" s="49">
        <f t="shared" si="9"/>
        <v>1251312.486</v>
      </c>
      <c r="AC17" s="49">
        <f t="shared" si="9"/>
        <v>152087.41700000002</v>
      </c>
      <c r="AD17" s="49">
        <f t="shared" si="9"/>
        <v>1268812.3330999999</v>
      </c>
      <c r="AE17" s="49">
        <f t="shared" si="9"/>
        <v>284031</v>
      </c>
      <c r="AF17" s="49">
        <f t="shared" si="9"/>
        <v>283366</v>
      </c>
      <c r="AG17" s="49">
        <f t="shared" si="9"/>
        <v>210102</v>
      </c>
      <c r="AH17" s="49">
        <f t="shared" si="9"/>
        <v>146512.33309999999</v>
      </c>
      <c r="AI17" s="49">
        <f t="shared" si="9"/>
        <v>212835</v>
      </c>
      <c r="AJ17" s="49">
        <f t="shared" si="9"/>
        <v>131966</v>
      </c>
    </row>
    <row r="18" spans="1:38" ht="37.5" customHeight="1" x14ac:dyDescent="0.25">
      <c r="A18" s="47"/>
      <c r="B18" s="46" t="s">
        <v>44</v>
      </c>
      <c r="C18" s="48">
        <f t="shared" ref="C18:Z18" si="10">C45+C60+C77+C94+C111+C127+C172+C200+C216+C231</f>
        <v>21</v>
      </c>
      <c r="D18" s="48">
        <f t="shared" si="10"/>
        <v>118</v>
      </c>
      <c r="E18" s="48">
        <f t="shared" si="10"/>
        <v>511</v>
      </c>
      <c r="F18" s="48">
        <f t="shared" si="10"/>
        <v>0</v>
      </c>
      <c r="G18" s="48">
        <f t="shared" si="10"/>
        <v>517186</v>
      </c>
      <c r="H18" s="48">
        <f t="shared" si="10"/>
        <v>366840</v>
      </c>
      <c r="I18" s="48">
        <f t="shared" si="10"/>
        <v>0</v>
      </c>
      <c r="J18" s="48">
        <f t="shared" si="10"/>
        <v>6996</v>
      </c>
      <c r="K18" s="48">
        <f t="shared" si="10"/>
        <v>143350</v>
      </c>
      <c r="L18" s="48">
        <f t="shared" si="10"/>
        <v>0</v>
      </c>
      <c r="M18" s="48">
        <f t="shared" si="10"/>
        <v>21</v>
      </c>
      <c r="N18" s="48">
        <f t="shared" si="10"/>
        <v>142</v>
      </c>
      <c r="O18" s="48">
        <f t="shared" si="10"/>
        <v>529</v>
      </c>
      <c r="P18" s="48">
        <f t="shared" si="10"/>
        <v>0</v>
      </c>
      <c r="Q18" s="48">
        <f t="shared" si="10"/>
        <v>0</v>
      </c>
      <c r="R18" s="49">
        <f t="shared" si="10"/>
        <v>778103</v>
      </c>
      <c r="S18" s="49">
        <f t="shared" si="10"/>
        <v>698822</v>
      </c>
      <c r="T18" s="49">
        <f t="shared" si="10"/>
        <v>79281</v>
      </c>
      <c r="U18" s="48">
        <f t="shared" si="10"/>
        <v>0</v>
      </c>
      <c r="V18" s="48">
        <f t="shared" si="10"/>
        <v>0</v>
      </c>
      <c r="W18" s="49">
        <f t="shared" si="10"/>
        <v>684640.40700000001</v>
      </c>
      <c r="X18" s="49">
        <f t="shared" si="10"/>
        <v>611896.77300000004</v>
      </c>
      <c r="Y18" s="49">
        <f t="shared" si="10"/>
        <v>72743.633999999991</v>
      </c>
      <c r="Z18" s="49">
        <f t="shared" si="10"/>
        <v>0</v>
      </c>
      <c r="AA18" s="49">
        <f t="shared" ref="AA18:AJ18" si="11">AA45+AA60+AA77+AA94+AA111+AA127+AA172+AA200+AA216+AA231</f>
        <v>654668.64200000011</v>
      </c>
      <c r="AB18" s="49">
        <f t="shared" si="11"/>
        <v>581925.00800000003</v>
      </c>
      <c r="AC18" s="49">
        <f t="shared" si="11"/>
        <v>72743.633999999991</v>
      </c>
      <c r="AD18" s="49">
        <f t="shared" si="11"/>
        <v>592625.00800000003</v>
      </c>
      <c r="AE18" s="49">
        <f t="shared" si="11"/>
        <v>88932</v>
      </c>
      <c r="AF18" s="49">
        <f t="shared" si="11"/>
        <v>109068</v>
      </c>
      <c r="AG18" s="49">
        <f t="shared" si="11"/>
        <v>110436</v>
      </c>
      <c r="AH18" s="49">
        <f t="shared" si="11"/>
        <v>93990.235000000001</v>
      </c>
      <c r="AI18" s="49">
        <f t="shared" si="11"/>
        <v>140498.77299999999</v>
      </c>
      <c r="AJ18" s="49">
        <f t="shared" si="11"/>
        <v>49700</v>
      </c>
    </row>
    <row r="19" spans="1:38" ht="39.75" customHeight="1" x14ac:dyDescent="0.25">
      <c r="A19" s="47"/>
      <c r="B19" s="46" t="s">
        <v>267</v>
      </c>
      <c r="C19" s="48">
        <f>C20+C26</f>
        <v>6</v>
      </c>
      <c r="D19" s="48">
        <f t="shared" ref="D19:AJ19" si="12">D20+D26</f>
        <v>26</v>
      </c>
      <c r="E19" s="48">
        <f t="shared" si="12"/>
        <v>173</v>
      </c>
      <c r="F19" s="48">
        <f t="shared" si="12"/>
        <v>0</v>
      </c>
      <c r="G19" s="48">
        <f t="shared" si="12"/>
        <v>147435</v>
      </c>
      <c r="H19" s="48">
        <f t="shared" si="12"/>
        <v>76443</v>
      </c>
      <c r="I19" s="48">
        <f t="shared" si="12"/>
        <v>31531</v>
      </c>
      <c r="J19" s="48">
        <f t="shared" si="12"/>
        <v>0</v>
      </c>
      <c r="K19" s="48">
        <f t="shared" si="12"/>
        <v>39461</v>
      </c>
      <c r="L19" s="48">
        <f t="shared" si="12"/>
        <v>0</v>
      </c>
      <c r="M19" s="48">
        <f t="shared" si="12"/>
        <v>7</v>
      </c>
      <c r="N19" s="48">
        <f t="shared" si="12"/>
        <v>26</v>
      </c>
      <c r="O19" s="48">
        <f t="shared" si="12"/>
        <v>176</v>
      </c>
      <c r="P19" s="48">
        <f t="shared" si="12"/>
        <v>0</v>
      </c>
      <c r="Q19" s="48">
        <f t="shared" si="12"/>
        <v>0</v>
      </c>
      <c r="R19" s="49">
        <f t="shared" si="12"/>
        <v>193848</v>
      </c>
      <c r="S19" s="49">
        <f t="shared" si="12"/>
        <v>193848</v>
      </c>
      <c r="T19" s="49">
        <f t="shared" si="12"/>
        <v>0</v>
      </c>
      <c r="U19" s="48">
        <f t="shared" si="12"/>
        <v>0</v>
      </c>
      <c r="V19" s="48">
        <f t="shared" si="12"/>
        <v>10</v>
      </c>
      <c r="W19" s="49">
        <f t="shared" si="12"/>
        <v>234377</v>
      </c>
      <c r="X19" s="49">
        <f t="shared" si="12"/>
        <v>234377</v>
      </c>
      <c r="Y19" s="49">
        <f t="shared" si="12"/>
        <v>0</v>
      </c>
      <c r="Z19" s="49">
        <f t="shared" si="12"/>
        <v>0</v>
      </c>
      <c r="AA19" s="49">
        <f t="shared" si="12"/>
        <v>212964</v>
      </c>
      <c r="AB19" s="49">
        <f t="shared" si="12"/>
        <v>212964</v>
      </c>
      <c r="AC19" s="49">
        <f t="shared" si="12"/>
        <v>0</v>
      </c>
      <c r="AD19" s="49">
        <f t="shared" si="12"/>
        <v>221598</v>
      </c>
      <c r="AE19" s="49">
        <f t="shared" si="12"/>
        <v>0</v>
      </c>
      <c r="AF19" s="49">
        <f t="shared" si="12"/>
        <v>29100</v>
      </c>
      <c r="AG19" s="49">
        <f t="shared" si="12"/>
        <v>44750</v>
      </c>
      <c r="AH19" s="49">
        <f t="shared" si="12"/>
        <v>10430</v>
      </c>
      <c r="AI19" s="49">
        <f t="shared" si="12"/>
        <v>82250</v>
      </c>
      <c r="AJ19" s="49">
        <f t="shared" si="12"/>
        <v>55068</v>
      </c>
    </row>
    <row r="20" spans="1:38" ht="36" customHeight="1" x14ac:dyDescent="0.25">
      <c r="A20" s="11" t="s">
        <v>17</v>
      </c>
      <c r="B20" s="47" t="s">
        <v>18</v>
      </c>
      <c r="C20" s="49">
        <f>SUM(C21:C25)</f>
        <v>4</v>
      </c>
      <c r="D20" s="49">
        <f t="shared" ref="D20:AJ20" si="13">SUM(D21:D25)</f>
        <v>0</v>
      </c>
      <c r="E20" s="49">
        <f t="shared" si="13"/>
        <v>108</v>
      </c>
      <c r="F20" s="49">
        <f t="shared" si="13"/>
        <v>0</v>
      </c>
      <c r="G20" s="49">
        <f t="shared" si="13"/>
        <v>73462</v>
      </c>
      <c r="H20" s="49">
        <f t="shared" si="13"/>
        <v>23161</v>
      </c>
      <c r="I20" s="49">
        <f t="shared" si="13"/>
        <v>31531</v>
      </c>
      <c r="J20" s="49">
        <f t="shared" si="13"/>
        <v>0</v>
      </c>
      <c r="K20" s="49">
        <f t="shared" si="13"/>
        <v>18770</v>
      </c>
      <c r="L20" s="49"/>
      <c r="M20" s="49">
        <f t="shared" si="13"/>
        <v>5</v>
      </c>
      <c r="N20" s="49">
        <f t="shared" si="13"/>
        <v>0</v>
      </c>
      <c r="O20" s="49">
        <f t="shared" si="13"/>
        <v>106</v>
      </c>
      <c r="P20" s="49">
        <f t="shared" si="13"/>
        <v>0</v>
      </c>
      <c r="Q20" s="49">
        <f t="shared" si="13"/>
        <v>0</v>
      </c>
      <c r="R20" s="49">
        <f t="shared" si="13"/>
        <v>62387</v>
      </c>
      <c r="S20" s="49">
        <f t="shared" si="13"/>
        <v>62387</v>
      </c>
      <c r="T20" s="49">
        <f t="shared" si="13"/>
        <v>0</v>
      </c>
      <c r="U20" s="49"/>
      <c r="V20" s="49">
        <f t="shared" si="13"/>
        <v>10</v>
      </c>
      <c r="W20" s="49">
        <f t="shared" si="13"/>
        <v>113649</v>
      </c>
      <c r="X20" s="49">
        <f>SUM(X21:X25)</f>
        <v>113649</v>
      </c>
      <c r="Y20" s="49">
        <f t="shared" si="13"/>
        <v>0</v>
      </c>
      <c r="Z20" s="49">
        <f t="shared" si="13"/>
        <v>0</v>
      </c>
      <c r="AA20" s="49">
        <f t="shared" si="13"/>
        <v>105480</v>
      </c>
      <c r="AB20" s="49">
        <f t="shared" si="13"/>
        <v>105480</v>
      </c>
      <c r="AC20" s="49">
        <f t="shared" si="13"/>
        <v>0</v>
      </c>
      <c r="AD20" s="49">
        <f t="shared" si="13"/>
        <v>108480</v>
      </c>
      <c r="AE20" s="49">
        <f t="shared" si="13"/>
        <v>0</v>
      </c>
      <c r="AF20" s="49">
        <f t="shared" si="13"/>
        <v>19100</v>
      </c>
      <c r="AG20" s="49">
        <f t="shared" si="13"/>
        <v>23750</v>
      </c>
      <c r="AH20" s="49">
        <f t="shared" si="13"/>
        <v>2430</v>
      </c>
      <c r="AI20" s="49">
        <f t="shared" si="13"/>
        <v>38450</v>
      </c>
      <c r="AJ20" s="49">
        <f t="shared" si="13"/>
        <v>24750</v>
      </c>
      <c r="AK20" s="3"/>
    </row>
    <row r="21" spans="1:38" ht="51" customHeight="1" x14ac:dyDescent="0.25">
      <c r="A21" s="5">
        <v>1</v>
      </c>
      <c r="B21" s="5" t="s">
        <v>190</v>
      </c>
      <c r="C21" s="4">
        <v>1</v>
      </c>
      <c r="D21" s="4">
        <v>0</v>
      </c>
      <c r="E21" s="4">
        <v>22</v>
      </c>
      <c r="F21" s="4"/>
      <c r="G21" s="9">
        <f>H21+I21+J21+K21</f>
        <v>14093</v>
      </c>
      <c r="H21" s="9"/>
      <c r="I21" s="9">
        <v>14093</v>
      </c>
      <c r="J21" s="9"/>
      <c r="K21" s="9"/>
      <c r="L21" s="5">
        <v>2023</v>
      </c>
      <c r="M21" s="4">
        <v>1</v>
      </c>
      <c r="N21" s="5">
        <v>0</v>
      </c>
      <c r="O21" s="5">
        <v>23</v>
      </c>
      <c r="P21" s="8"/>
      <c r="Q21" s="13" t="s">
        <v>298</v>
      </c>
      <c r="R21" s="37">
        <f>S21+T21</f>
        <v>18225</v>
      </c>
      <c r="S21" s="37">
        <v>18225</v>
      </c>
      <c r="T21" s="37"/>
      <c r="U21" s="7">
        <v>2022</v>
      </c>
      <c r="V21" s="7">
        <v>2</v>
      </c>
      <c r="W21" s="9">
        <f>X21+Y21+Z21</f>
        <v>15950</v>
      </c>
      <c r="X21" s="9">
        <v>15950</v>
      </c>
      <c r="Y21" s="9"/>
      <c r="Z21" s="9"/>
      <c r="AA21" s="10">
        <f>AB21+AC21</f>
        <v>15950</v>
      </c>
      <c r="AB21" s="10">
        <f>X21</f>
        <v>15950</v>
      </c>
      <c r="AC21" s="10"/>
      <c r="AD21" s="10">
        <f>AE21+AF21+AG21+AH21+AI21+AJ21</f>
        <v>15950</v>
      </c>
      <c r="AE21" s="10">
        <v>0</v>
      </c>
      <c r="AF21" s="10">
        <v>5100</v>
      </c>
      <c r="AG21" s="10">
        <v>8350</v>
      </c>
      <c r="AH21" s="10"/>
      <c r="AI21" s="10">
        <v>2500</v>
      </c>
      <c r="AJ21" s="10">
        <v>0</v>
      </c>
    </row>
    <row r="22" spans="1:38" ht="46.9" customHeight="1" x14ac:dyDescent="0.25">
      <c r="A22" s="5">
        <v>2</v>
      </c>
      <c r="B22" s="5" t="s">
        <v>19</v>
      </c>
      <c r="C22" s="4">
        <v>1</v>
      </c>
      <c r="D22" s="4">
        <v>0</v>
      </c>
      <c r="E22" s="4">
        <v>25</v>
      </c>
      <c r="F22" s="4"/>
      <c r="G22" s="9">
        <f>H22+I22+J22+K22</f>
        <v>17438</v>
      </c>
      <c r="H22" s="9"/>
      <c r="I22" s="9">
        <v>17438</v>
      </c>
      <c r="J22" s="9"/>
      <c r="K22" s="9"/>
      <c r="L22" s="5">
        <v>2022</v>
      </c>
      <c r="M22" s="4">
        <v>1</v>
      </c>
      <c r="N22" s="5">
        <v>0</v>
      </c>
      <c r="O22" s="5">
        <v>24</v>
      </c>
      <c r="P22" s="8"/>
      <c r="Q22" s="13" t="s">
        <v>299</v>
      </c>
      <c r="R22" s="37">
        <f t="shared" ref="R22:R28" si="14">S22+T22</f>
        <v>20528</v>
      </c>
      <c r="S22" s="37">
        <v>20528</v>
      </c>
      <c r="T22" s="37"/>
      <c r="U22" s="7">
        <v>2022</v>
      </c>
      <c r="V22" s="7">
        <v>2</v>
      </c>
      <c r="W22" s="9">
        <f>X22+Y22+Z22</f>
        <v>17830</v>
      </c>
      <c r="X22" s="9">
        <v>17830</v>
      </c>
      <c r="Y22" s="9"/>
      <c r="Z22" s="9"/>
      <c r="AA22" s="10">
        <f t="shared" ref="AA22:AA28" si="15">AB22+AC22</f>
        <v>17830</v>
      </c>
      <c r="AB22" s="10">
        <v>17830</v>
      </c>
      <c r="AC22" s="10"/>
      <c r="AD22" s="10">
        <f t="shared" ref="AD22:AD28" si="16">AE22+AF22+AG22+AH22+AI22+AJ22</f>
        <v>17830</v>
      </c>
      <c r="AE22" s="10">
        <v>0</v>
      </c>
      <c r="AF22" s="10">
        <v>7000</v>
      </c>
      <c r="AG22" s="10">
        <v>8400</v>
      </c>
      <c r="AH22" s="10">
        <v>2430</v>
      </c>
      <c r="AI22" s="10"/>
      <c r="AJ22" s="10">
        <v>0</v>
      </c>
    </row>
    <row r="23" spans="1:38" ht="45.6" customHeight="1" x14ac:dyDescent="0.25">
      <c r="A23" s="5">
        <v>3</v>
      </c>
      <c r="B23" s="5" t="s">
        <v>20</v>
      </c>
      <c r="C23" s="4">
        <v>1</v>
      </c>
      <c r="D23" s="4">
        <v>0</v>
      </c>
      <c r="E23" s="4">
        <v>27</v>
      </c>
      <c r="F23" s="4"/>
      <c r="G23" s="9">
        <f>H23+I23+J23+K23</f>
        <v>18770</v>
      </c>
      <c r="H23" s="9"/>
      <c r="I23" s="9"/>
      <c r="J23" s="9"/>
      <c r="K23" s="9">
        <v>18770</v>
      </c>
      <c r="L23" s="5">
        <v>2022</v>
      </c>
      <c r="M23" s="4">
        <v>1</v>
      </c>
      <c r="N23" s="5">
        <v>0</v>
      </c>
      <c r="O23" s="5">
        <v>27</v>
      </c>
      <c r="P23" s="8"/>
      <c r="Q23" s="13" t="s">
        <v>300</v>
      </c>
      <c r="R23" s="37">
        <f t="shared" si="14"/>
        <v>23634</v>
      </c>
      <c r="S23" s="37">
        <v>23634</v>
      </c>
      <c r="T23" s="37"/>
      <c r="U23" s="7">
        <v>2022</v>
      </c>
      <c r="V23" s="7">
        <v>2</v>
      </c>
      <c r="W23" s="9">
        <f>X23+Y23+Z23</f>
        <v>20700</v>
      </c>
      <c r="X23" s="9">
        <v>20700</v>
      </c>
      <c r="Y23" s="9">
        <v>0</v>
      </c>
      <c r="Z23" s="9">
        <v>0</v>
      </c>
      <c r="AA23" s="10">
        <f t="shared" si="15"/>
        <v>20700</v>
      </c>
      <c r="AB23" s="10">
        <v>20700</v>
      </c>
      <c r="AC23" s="10"/>
      <c r="AD23" s="10">
        <f t="shared" si="16"/>
        <v>20700</v>
      </c>
      <c r="AE23" s="10">
        <v>0</v>
      </c>
      <c r="AF23" s="10">
        <v>7000</v>
      </c>
      <c r="AG23" s="10">
        <v>7000</v>
      </c>
      <c r="AH23" s="10"/>
      <c r="AI23" s="10">
        <v>6700</v>
      </c>
      <c r="AJ23" s="10">
        <v>0</v>
      </c>
    </row>
    <row r="24" spans="1:38" ht="163.15" customHeight="1" x14ac:dyDescent="0.25">
      <c r="A24" s="5">
        <v>4</v>
      </c>
      <c r="B24" s="5" t="s">
        <v>21</v>
      </c>
      <c r="C24" s="9">
        <v>1</v>
      </c>
      <c r="D24" s="9">
        <v>0</v>
      </c>
      <c r="E24" s="9">
        <v>34</v>
      </c>
      <c r="F24" s="9"/>
      <c r="G24" s="9">
        <f>H24+I24+J24+K24</f>
        <v>23161</v>
      </c>
      <c r="H24" s="9">
        <v>23161</v>
      </c>
      <c r="I24" s="9"/>
      <c r="J24" s="9"/>
      <c r="K24" s="9"/>
      <c r="L24" s="9">
        <v>2021</v>
      </c>
      <c r="M24" s="9">
        <v>1</v>
      </c>
      <c r="N24" s="5">
        <v>0</v>
      </c>
      <c r="O24" s="5">
        <v>32</v>
      </c>
      <c r="P24" s="8" t="s">
        <v>437</v>
      </c>
      <c r="Q24" s="37"/>
      <c r="R24" s="37">
        <f t="shared" si="14"/>
        <v>0</v>
      </c>
      <c r="S24" s="37"/>
      <c r="T24" s="37"/>
      <c r="U24" s="7">
        <v>2024</v>
      </c>
      <c r="V24" s="7">
        <v>2</v>
      </c>
      <c r="W24" s="9">
        <f>X24+Y24+Z24</f>
        <v>42814</v>
      </c>
      <c r="X24" s="9">
        <v>42814</v>
      </c>
      <c r="Y24" s="9">
        <v>0</v>
      </c>
      <c r="Z24" s="9">
        <v>0</v>
      </c>
      <c r="AA24" s="10">
        <f t="shared" si="15"/>
        <v>37000</v>
      </c>
      <c r="AB24" s="10">
        <v>37000</v>
      </c>
      <c r="AC24" s="10">
        <f>Y24</f>
        <v>0</v>
      </c>
      <c r="AD24" s="10">
        <f t="shared" si="16"/>
        <v>38500</v>
      </c>
      <c r="AE24" s="10"/>
      <c r="AF24" s="10"/>
      <c r="AG24" s="10"/>
      <c r="AH24" s="10"/>
      <c r="AI24" s="10">
        <v>19250</v>
      </c>
      <c r="AJ24" s="10">
        <v>19250</v>
      </c>
    </row>
    <row r="25" spans="1:38" ht="202.15" customHeight="1" x14ac:dyDescent="0.25">
      <c r="A25" s="5">
        <v>5</v>
      </c>
      <c r="B25" s="5" t="s">
        <v>270</v>
      </c>
      <c r="C25" s="4"/>
      <c r="D25" s="4"/>
      <c r="E25" s="4"/>
      <c r="F25" s="4"/>
      <c r="G25" s="9"/>
      <c r="H25" s="9"/>
      <c r="I25" s="9"/>
      <c r="J25" s="9"/>
      <c r="K25" s="9"/>
      <c r="L25" s="5">
        <v>0</v>
      </c>
      <c r="M25" s="4">
        <v>1</v>
      </c>
      <c r="N25" s="5"/>
      <c r="O25" s="5"/>
      <c r="P25" s="8" t="s">
        <v>449</v>
      </c>
      <c r="Q25" s="37"/>
      <c r="R25" s="37"/>
      <c r="S25" s="37"/>
      <c r="T25" s="37"/>
      <c r="U25" s="7">
        <v>2024</v>
      </c>
      <c r="V25" s="7">
        <v>2</v>
      </c>
      <c r="W25" s="9">
        <f>X25+Y25+Z25</f>
        <v>16355</v>
      </c>
      <c r="X25" s="9">
        <f>7000+300+500+125+200+5000+150+1593+1487</f>
        <v>16355</v>
      </c>
      <c r="Y25" s="9"/>
      <c r="Z25" s="9"/>
      <c r="AA25" s="10">
        <f t="shared" si="15"/>
        <v>14000</v>
      </c>
      <c r="AB25" s="10">
        <v>14000</v>
      </c>
      <c r="AC25" s="10">
        <f>Y25</f>
        <v>0</v>
      </c>
      <c r="AD25" s="10">
        <f t="shared" si="16"/>
        <v>15500</v>
      </c>
      <c r="AE25" s="10"/>
      <c r="AF25" s="10"/>
      <c r="AG25" s="10"/>
      <c r="AH25" s="10"/>
      <c r="AI25" s="10">
        <v>10000</v>
      </c>
      <c r="AJ25" s="10">
        <v>5500</v>
      </c>
    </row>
    <row r="26" spans="1:38" ht="57.75" customHeight="1" x14ac:dyDescent="0.25">
      <c r="A26" s="11" t="s">
        <v>24</v>
      </c>
      <c r="B26" s="47" t="s">
        <v>25</v>
      </c>
      <c r="C26" s="49">
        <f>C27+C28</f>
        <v>2</v>
      </c>
      <c r="D26" s="49">
        <f t="shared" ref="D26:AJ26" si="17">D27+D28</f>
        <v>26</v>
      </c>
      <c r="E26" s="49">
        <f t="shared" si="17"/>
        <v>65</v>
      </c>
      <c r="F26" s="49">
        <f t="shared" si="17"/>
        <v>0</v>
      </c>
      <c r="G26" s="49">
        <f t="shared" si="17"/>
        <v>73973</v>
      </c>
      <c r="H26" s="49">
        <f t="shared" si="17"/>
        <v>53282</v>
      </c>
      <c r="I26" s="49">
        <f t="shared" si="17"/>
        <v>0</v>
      </c>
      <c r="J26" s="49">
        <f t="shared" si="17"/>
        <v>0</v>
      </c>
      <c r="K26" s="49">
        <f t="shared" si="17"/>
        <v>20691</v>
      </c>
      <c r="L26" s="49"/>
      <c r="M26" s="49">
        <f t="shared" si="17"/>
        <v>2</v>
      </c>
      <c r="N26" s="49">
        <f t="shared" si="17"/>
        <v>26</v>
      </c>
      <c r="O26" s="49">
        <f t="shared" si="17"/>
        <v>70</v>
      </c>
      <c r="P26" s="49"/>
      <c r="Q26" s="49"/>
      <c r="R26" s="49">
        <f t="shared" si="17"/>
        <v>131461</v>
      </c>
      <c r="S26" s="49">
        <f t="shared" si="17"/>
        <v>131461</v>
      </c>
      <c r="T26" s="49">
        <f t="shared" si="17"/>
        <v>0</v>
      </c>
      <c r="U26" s="49"/>
      <c r="V26" s="49"/>
      <c r="W26" s="49">
        <f t="shared" si="17"/>
        <v>120728</v>
      </c>
      <c r="X26" s="49">
        <f>X27+X28</f>
        <v>120728</v>
      </c>
      <c r="Y26" s="49">
        <f t="shared" si="17"/>
        <v>0</v>
      </c>
      <c r="Z26" s="49">
        <f t="shared" si="17"/>
        <v>0</v>
      </c>
      <c r="AA26" s="49">
        <f t="shared" si="17"/>
        <v>107484</v>
      </c>
      <c r="AB26" s="49">
        <f t="shared" si="17"/>
        <v>107484</v>
      </c>
      <c r="AC26" s="49">
        <f t="shared" si="17"/>
        <v>0</v>
      </c>
      <c r="AD26" s="49">
        <f t="shared" si="17"/>
        <v>113118</v>
      </c>
      <c r="AE26" s="49">
        <f t="shared" si="17"/>
        <v>0</v>
      </c>
      <c r="AF26" s="49">
        <f t="shared" si="17"/>
        <v>10000</v>
      </c>
      <c r="AG26" s="49">
        <f t="shared" si="17"/>
        <v>21000</v>
      </c>
      <c r="AH26" s="49">
        <f t="shared" si="17"/>
        <v>8000</v>
      </c>
      <c r="AI26" s="49">
        <f t="shared" si="17"/>
        <v>43800</v>
      </c>
      <c r="AJ26" s="49">
        <f t="shared" si="17"/>
        <v>30318</v>
      </c>
    </row>
    <row r="27" spans="1:38" ht="130.5" customHeight="1" x14ac:dyDescent="0.25">
      <c r="A27" s="5">
        <v>1</v>
      </c>
      <c r="B27" s="5" t="s">
        <v>26</v>
      </c>
      <c r="C27" s="4">
        <v>1</v>
      </c>
      <c r="D27" s="4">
        <v>25</v>
      </c>
      <c r="E27" s="4">
        <v>41</v>
      </c>
      <c r="F27" s="4"/>
      <c r="G27" s="9">
        <f>H27+I27+J27+K27</f>
        <v>53282</v>
      </c>
      <c r="H27" s="9">
        <v>53282</v>
      </c>
      <c r="I27" s="9">
        <v>0</v>
      </c>
      <c r="J27" s="9">
        <v>0</v>
      </c>
      <c r="K27" s="9">
        <v>0</v>
      </c>
      <c r="L27" s="7">
        <v>2022</v>
      </c>
      <c r="M27" s="5">
        <v>1</v>
      </c>
      <c r="N27" s="5">
        <v>25</v>
      </c>
      <c r="O27" s="5">
        <v>41</v>
      </c>
      <c r="P27" s="8"/>
      <c r="Q27" s="8" t="s">
        <v>301</v>
      </c>
      <c r="R27" s="37">
        <f t="shared" si="14"/>
        <v>73333</v>
      </c>
      <c r="S27" s="37">
        <v>73333</v>
      </c>
      <c r="T27" s="37"/>
      <c r="U27" s="7">
        <v>2022</v>
      </c>
      <c r="V27" s="7">
        <v>2</v>
      </c>
      <c r="W27" s="9">
        <f>X27+Y27+Z27</f>
        <v>62800</v>
      </c>
      <c r="X27" s="9">
        <v>62800</v>
      </c>
      <c r="Y27" s="9">
        <v>0</v>
      </c>
      <c r="Z27" s="9">
        <v>0</v>
      </c>
      <c r="AA27" s="10">
        <f t="shared" si="15"/>
        <v>62800</v>
      </c>
      <c r="AB27" s="10">
        <f>X27</f>
        <v>62800</v>
      </c>
      <c r="AC27" s="10"/>
      <c r="AD27" s="10">
        <f t="shared" si="16"/>
        <v>62800</v>
      </c>
      <c r="AE27" s="10">
        <v>0</v>
      </c>
      <c r="AF27" s="10">
        <v>10000</v>
      </c>
      <c r="AG27" s="10">
        <v>21000</v>
      </c>
      <c r="AH27" s="10">
        <v>8000</v>
      </c>
      <c r="AI27" s="10">
        <v>23800</v>
      </c>
      <c r="AJ27" s="10"/>
    </row>
    <row r="28" spans="1:38" ht="250.9" customHeight="1" x14ac:dyDescent="0.25">
      <c r="A28" s="5">
        <v>2</v>
      </c>
      <c r="B28" s="5" t="s">
        <v>22</v>
      </c>
      <c r="C28" s="9">
        <v>1</v>
      </c>
      <c r="D28" s="9">
        <v>1</v>
      </c>
      <c r="E28" s="9">
        <v>24</v>
      </c>
      <c r="F28" s="9"/>
      <c r="G28" s="9">
        <f>H28+I28+J28+K28</f>
        <v>20691</v>
      </c>
      <c r="H28" s="9"/>
      <c r="I28" s="9"/>
      <c r="J28" s="9"/>
      <c r="K28" s="9">
        <v>20691</v>
      </c>
      <c r="L28" s="7">
        <v>2023</v>
      </c>
      <c r="M28" s="9">
        <v>1</v>
      </c>
      <c r="N28" s="5">
        <v>1</v>
      </c>
      <c r="O28" s="5">
        <v>29</v>
      </c>
      <c r="P28" s="8" t="s">
        <v>438</v>
      </c>
      <c r="Q28" s="8"/>
      <c r="R28" s="37">
        <f t="shared" si="14"/>
        <v>58128</v>
      </c>
      <c r="S28" s="37">
        <v>58128</v>
      </c>
      <c r="T28" s="37"/>
      <c r="U28" s="7">
        <v>2023</v>
      </c>
      <c r="V28" s="7">
        <v>2</v>
      </c>
      <c r="W28" s="9">
        <f>X28+Y28+Z28</f>
        <v>57928</v>
      </c>
      <c r="X28" s="9">
        <f>52928+5000</f>
        <v>57928</v>
      </c>
      <c r="Y28" s="9">
        <v>0</v>
      </c>
      <c r="Z28" s="9">
        <v>0</v>
      </c>
      <c r="AA28" s="10">
        <f t="shared" si="15"/>
        <v>44684</v>
      </c>
      <c r="AB28" s="10">
        <v>44684</v>
      </c>
      <c r="AC28" s="10">
        <f>Y28</f>
        <v>0</v>
      </c>
      <c r="AD28" s="10">
        <f t="shared" si="16"/>
        <v>50318</v>
      </c>
      <c r="AE28" s="10">
        <v>0</v>
      </c>
      <c r="AF28" s="10">
        <v>0</v>
      </c>
      <c r="AG28" s="10"/>
      <c r="AH28" s="10"/>
      <c r="AI28" s="10">
        <v>20000</v>
      </c>
      <c r="AJ28" s="10">
        <v>30318</v>
      </c>
      <c r="AL28" s="118"/>
    </row>
    <row r="29" spans="1:38" ht="45" customHeight="1" x14ac:dyDescent="0.25">
      <c r="A29" s="11" t="s">
        <v>27</v>
      </c>
      <c r="B29" s="47" t="s">
        <v>28</v>
      </c>
      <c r="C29" s="49">
        <f t="shared" ref="C29:G29" si="18">C30+C38+C45</f>
        <v>17</v>
      </c>
      <c r="D29" s="49">
        <f t="shared" si="18"/>
        <v>92</v>
      </c>
      <c r="E29" s="49">
        <f t="shared" si="18"/>
        <v>217</v>
      </c>
      <c r="F29" s="49">
        <f t="shared" si="18"/>
        <v>0</v>
      </c>
      <c r="G29" s="49">
        <f t="shared" si="18"/>
        <v>251734</v>
      </c>
      <c r="H29" s="49">
        <f>H30+H38+H45</f>
        <v>170446</v>
      </c>
      <c r="I29" s="49">
        <f>I30+I38+I45</f>
        <v>0</v>
      </c>
      <c r="J29" s="49">
        <f>J30+J38+J45</f>
        <v>900</v>
      </c>
      <c r="K29" s="49">
        <f>K30+K38+K45</f>
        <v>80388</v>
      </c>
      <c r="L29" s="47"/>
      <c r="M29" s="49">
        <f>M30+M38+M45</f>
        <v>17</v>
      </c>
      <c r="N29" s="50">
        <f t="shared" ref="N29:Z29" si="19">N30+N38+N45</f>
        <v>106</v>
      </c>
      <c r="O29" s="50">
        <f t="shared" si="19"/>
        <v>208</v>
      </c>
      <c r="P29" s="17">
        <f t="shared" si="19"/>
        <v>0</v>
      </c>
      <c r="Q29" s="17"/>
      <c r="R29" s="50">
        <f t="shared" ref="R29:T29" si="20">R30+R38+R45</f>
        <v>298648</v>
      </c>
      <c r="S29" s="50">
        <f t="shared" si="20"/>
        <v>290746</v>
      </c>
      <c r="T29" s="50">
        <f t="shared" si="20"/>
        <v>7902</v>
      </c>
      <c r="U29" s="11"/>
      <c r="V29" s="47"/>
      <c r="W29" s="50">
        <f t="shared" si="19"/>
        <v>256978.40299999999</v>
      </c>
      <c r="X29" s="50">
        <f>X30+X38+X45</f>
        <v>231232</v>
      </c>
      <c r="Y29" s="50">
        <f t="shared" si="19"/>
        <v>25746.402999999998</v>
      </c>
      <c r="Z29" s="50">
        <f t="shared" si="19"/>
        <v>0</v>
      </c>
      <c r="AA29" s="50">
        <f>AA30+AA38+AA45</f>
        <v>256978.40299999999</v>
      </c>
      <c r="AB29" s="50">
        <f>AB30+AB38+AB45</f>
        <v>231232</v>
      </c>
      <c r="AC29" s="50">
        <f>AC30+AC38+AC45</f>
        <v>25746.402999999998</v>
      </c>
      <c r="AD29" s="50">
        <f>AD30+AD38+AD45</f>
        <v>231232</v>
      </c>
      <c r="AE29" s="50">
        <f t="shared" ref="AE29:AG29" si="21">AE30+AE38+AE45</f>
        <v>92632</v>
      </c>
      <c r="AF29" s="50">
        <f t="shared" si="21"/>
        <v>75400</v>
      </c>
      <c r="AG29" s="50">
        <f t="shared" si="21"/>
        <v>31480</v>
      </c>
      <c r="AH29" s="50">
        <f t="shared" ref="AH29" si="22">AH30+AH38+AH45</f>
        <v>31720</v>
      </c>
      <c r="AI29" s="50">
        <f t="shared" ref="AI29:AJ29" si="23">AI30+AI38+AI45</f>
        <v>0</v>
      </c>
      <c r="AJ29" s="50">
        <f t="shared" si="23"/>
        <v>0</v>
      </c>
      <c r="AK29" s="3"/>
    </row>
    <row r="30" spans="1:38" ht="42.75" customHeight="1" x14ac:dyDescent="0.25">
      <c r="A30" s="5"/>
      <c r="B30" s="51" t="s">
        <v>29</v>
      </c>
      <c r="C30" s="33">
        <f>SUM(C31:C37)</f>
        <v>7</v>
      </c>
      <c r="D30" s="33">
        <f>SUM(D31:D37)</f>
        <v>24</v>
      </c>
      <c r="E30" s="33">
        <f>SUM(E31:E37)</f>
        <v>59</v>
      </c>
      <c r="F30" s="52"/>
      <c r="G30" s="33">
        <f t="shared" ref="G30:M30" si="24">SUM(G31:G37)</f>
        <v>79617</v>
      </c>
      <c r="H30" s="33">
        <f t="shared" si="24"/>
        <v>61615</v>
      </c>
      <c r="I30" s="33">
        <f t="shared" si="24"/>
        <v>0</v>
      </c>
      <c r="J30" s="33">
        <f t="shared" si="24"/>
        <v>0</v>
      </c>
      <c r="K30" s="33">
        <f t="shared" si="24"/>
        <v>18002</v>
      </c>
      <c r="L30" s="51"/>
      <c r="M30" s="33">
        <f t="shared" si="24"/>
        <v>7</v>
      </c>
      <c r="N30" s="53">
        <f t="shared" ref="N30:Z30" si="25">SUM(N31:N37)</f>
        <v>23</v>
      </c>
      <c r="O30" s="53">
        <f t="shared" si="25"/>
        <v>54</v>
      </c>
      <c r="P30" s="21">
        <f t="shared" si="25"/>
        <v>0</v>
      </c>
      <c r="Q30" s="21"/>
      <c r="R30" s="53">
        <f t="shared" ref="R30:T30" si="26">SUM(R31:R37)</f>
        <v>63541</v>
      </c>
      <c r="S30" s="53">
        <f t="shared" si="26"/>
        <v>55639</v>
      </c>
      <c r="T30" s="53">
        <f t="shared" si="26"/>
        <v>7902</v>
      </c>
      <c r="U30" s="12"/>
      <c r="V30" s="51"/>
      <c r="W30" s="53">
        <f t="shared" si="25"/>
        <v>62377</v>
      </c>
      <c r="X30" s="53">
        <f>SUM(X31:X37)</f>
        <v>54475</v>
      </c>
      <c r="Y30" s="53">
        <f t="shared" si="25"/>
        <v>7902</v>
      </c>
      <c r="Z30" s="53">
        <f t="shared" si="25"/>
        <v>0</v>
      </c>
      <c r="AA30" s="53">
        <f t="shared" ref="AA30:AG30" si="27">SUM(AA31:AA37)</f>
        <v>62377</v>
      </c>
      <c r="AB30" s="53">
        <f t="shared" si="27"/>
        <v>54475</v>
      </c>
      <c r="AC30" s="53">
        <f t="shared" si="27"/>
        <v>7902</v>
      </c>
      <c r="AD30" s="53">
        <f t="shared" si="27"/>
        <v>54475</v>
      </c>
      <c r="AE30" s="53">
        <f t="shared" si="27"/>
        <v>19800</v>
      </c>
      <c r="AF30" s="53">
        <f t="shared" si="27"/>
        <v>19700</v>
      </c>
      <c r="AG30" s="53">
        <f t="shared" si="27"/>
        <v>10175</v>
      </c>
      <c r="AH30" s="53">
        <f t="shared" ref="AH30" si="28">SUM(AH31:AH37)</f>
        <v>4800</v>
      </c>
      <c r="AI30" s="53">
        <f t="shared" ref="AI30:AJ30" si="29">SUM(AI31:AI37)</f>
        <v>0</v>
      </c>
      <c r="AJ30" s="53">
        <f t="shared" si="29"/>
        <v>0</v>
      </c>
    </row>
    <row r="31" spans="1:38" ht="49.9" customHeight="1" x14ac:dyDescent="0.25">
      <c r="A31" s="5">
        <v>1</v>
      </c>
      <c r="B31" s="5" t="s">
        <v>30</v>
      </c>
      <c r="C31" s="22">
        <v>1</v>
      </c>
      <c r="D31" s="22">
        <v>6</v>
      </c>
      <c r="E31" s="22">
        <v>16</v>
      </c>
      <c r="F31" s="22"/>
      <c r="G31" s="18">
        <f>H31+I31+J31+K31</f>
        <v>20019</v>
      </c>
      <c r="H31" s="18">
        <v>20019</v>
      </c>
      <c r="I31" s="18"/>
      <c r="J31" s="18"/>
      <c r="K31" s="18"/>
      <c r="L31" s="6">
        <v>2021</v>
      </c>
      <c r="M31" s="22">
        <v>1</v>
      </c>
      <c r="N31" s="6">
        <v>6</v>
      </c>
      <c r="O31" s="6">
        <v>14</v>
      </c>
      <c r="P31" s="13"/>
      <c r="Q31" s="7" t="s">
        <v>413</v>
      </c>
      <c r="R31" s="37">
        <f t="shared" ref="R31:R49" si="30">S31+T31</f>
        <v>13067</v>
      </c>
      <c r="S31" s="72">
        <v>13067</v>
      </c>
      <c r="T31" s="72"/>
      <c r="U31" s="6">
        <v>2021</v>
      </c>
      <c r="V31" s="6">
        <v>2</v>
      </c>
      <c r="W31" s="10">
        <f>X31+Y31+Z31</f>
        <v>12400</v>
      </c>
      <c r="X31" s="85">
        <v>12400</v>
      </c>
      <c r="Y31" s="18"/>
      <c r="Z31" s="18"/>
      <c r="AA31" s="10">
        <f t="shared" ref="AA31:AA37" si="31">AB31+AC31</f>
        <v>12400</v>
      </c>
      <c r="AB31" s="29">
        <f t="shared" ref="AB31:AC37" si="32">X31</f>
        <v>12400</v>
      </c>
      <c r="AC31" s="29">
        <f t="shared" si="32"/>
        <v>0</v>
      </c>
      <c r="AD31" s="10">
        <f t="shared" ref="AD31:AD49" si="33">AE31+AF31+AG31+AH31+AI31+AJ31</f>
        <v>12400</v>
      </c>
      <c r="AE31" s="85">
        <v>6000</v>
      </c>
      <c r="AF31" s="85">
        <v>3800</v>
      </c>
      <c r="AG31" s="85">
        <v>2000</v>
      </c>
      <c r="AH31" s="85">
        <v>600</v>
      </c>
      <c r="AI31" s="85"/>
      <c r="AJ31" s="85"/>
    </row>
    <row r="32" spans="1:38" ht="44.45" customHeight="1" x14ac:dyDescent="0.25">
      <c r="A32" s="5">
        <v>2</v>
      </c>
      <c r="B32" s="5" t="s">
        <v>31</v>
      </c>
      <c r="C32" s="22">
        <v>1</v>
      </c>
      <c r="D32" s="22">
        <v>3</v>
      </c>
      <c r="E32" s="22">
        <v>6</v>
      </c>
      <c r="F32" s="22"/>
      <c r="G32" s="18">
        <f t="shared" ref="G32:G49" si="34">H32+I32+J32+K32</f>
        <v>9698</v>
      </c>
      <c r="H32" s="18">
        <v>9698</v>
      </c>
      <c r="I32" s="18"/>
      <c r="J32" s="18"/>
      <c r="K32" s="18"/>
      <c r="L32" s="6">
        <v>2021</v>
      </c>
      <c r="M32" s="22">
        <v>1</v>
      </c>
      <c r="N32" s="6">
        <v>3</v>
      </c>
      <c r="O32" s="6">
        <v>8</v>
      </c>
      <c r="P32" s="13"/>
      <c r="Q32" s="55" t="s">
        <v>414</v>
      </c>
      <c r="R32" s="37">
        <f t="shared" si="30"/>
        <v>8512</v>
      </c>
      <c r="S32" s="72">
        <f>8512-637</f>
        <v>7875</v>
      </c>
      <c r="T32" s="72">
        <v>637</v>
      </c>
      <c r="U32" s="6">
        <v>2021</v>
      </c>
      <c r="V32" s="6">
        <v>2</v>
      </c>
      <c r="W32" s="10">
        <f>X32+Y32+Z32</f>
        <v>8512</v>
      </c>
      <c r="X32" s="85">
        <v>7875</v>
      </c>
      <c r="Y32" s="18">
        <v>637</v>
      </c>
      <c r="Z32" s="18"/>
      <c r="AA32" s="10">
        <f t="shared" si="31"/>
        <v>8512</v>
      </c>
      <c r="AB32" s="29">
        <f t="shared" si="32"/>
        <v>7875</v>
      </c>
      <c r="AC32" s="29">
        <f t="shared" si="32"/>
        <v>637</v>
      </c>
      <c r="AD32" s="10">
        <f t="shared" si="33"/>
        <v>7875</v>
      </c>
      <c r="AE32" s="85">
        <v>4000</v>
      </c>
      <c r="AF32" s="85">
        <v>3700</v>
      </c>
      <c r="AG32" s="85">
        <v>175</v>
      </c>
      <c r="AH32" s="85"/>
      <c r="AI32" s="85"/>
      <c r="AJ32" s="85"/>
    </row>
    <row r="33" spans="1:36" ht="50.45" customHeight="1" x14ac:dyDescent="0.25">
      <c r="A33" s="23">
        <v>3</v>
      </c>
      <c r="B33" s="5" t="s">
        <v>32</v>
      </c>
      <c r="C33" s="22">
        <v>1</v>
      </c>
      <c r="D33" s="22">
        <v>2</v>
      </c>
      <c r="E33" s="22">
        <v>16</v>
      </c>
      <c r="F33" s="22"/>
      <c r="G33" s="18">
        <f t="shared" si="34"/>
        <v>11843</v>
      </c>
      <c r="H33" s="18">
        <v>11843</v>
      </c>
      <c r="I33" s="18"/>
      <c r="J33" s="18"/>
      <c r="K33" s="18"/>
      <c r="L33" s="6">
        <v>2021</v>
      </c>
      <c r="M33" s="22">
        <v>1</v>
      </c>
      <c r="N33" s="6">
        <v>3</v>
      </c>
      <c r="O33" s="6">
        <v>12</v>
      </c>
      <c r="P33" s="13"/>
      <c r="Q33" s="86" t="s">
        <v>302</v>
      </c>
      <c r="R33" s="37">
        <f t="shared" si="30"/>
        <v>12408</v>
      </c>
      <c r="S33" s="72">
        <v>9500</v>
      </c>
      <c r="T33" s="72">
        <v>2908</v>
      </c>
      <c r="U33" s="6">
        <v>2021</v>
      </c>
      <c r="V33" s="6">
        <v>2</v>
      </c>
      <c r="W33" s="10">
        <f t="shared" ref="W33:W49" si="35">X33+Y33+Z33</f>
        <v>12408</v>
      </c>
      <c r="X33" s="18">
        <v>9500</v>
      </c>
      <c r="Y33" s="18">
        <v>2908</v>
      </c>
      <c r="Z33" s="18"/>
      <c r="AA33" s="10">
        <f t="shared" si="31"/>
        <v>12408</v>
      </c>
      <c r="AB33" s="29">
        <f t="shared" si="32"/>
        <v>9500</v>
      </c>
      <c r="AC33" s="29">
        <f t="shared" si="32"/>
        <v>2908</v>
      </c>
      <c r="AD33" s="10">
        <f t="shared" si="33"/>
        <v>9500</v>
      </c>
      <c r="AE33" s="85">
        <v>4800</v>
      </c>
      <c r="AF33" s="85">
        <v>700</v>
      </c>
      <c r="AG33" s="85">
        <v>4000</v>
      </c>
      <c r="AH33" s="85"/>
      <c r="AI33" s="85"/>
      <c r="AJ33" s="85"/>
    </row>
    <row r="34" spans="1:36" ht="46.15" customHeight="1" x14ac:dyDescent="0.25">
      <c r="A34" s="23">
        <v>4</v>
      </c>
      <c r="B34" s="5" t="s">
        <v>33</v>
      </c>
      <c r="C34" s="22">
        <v>1</v>
      </c>
      <c r="D34" s="22">
        <v>6</v>
      </c>
      <c r="E34" s="22">
        <v>16</v>
      </c>
      <c r="F34" s="22"/>
      <c r="G34" s="18">
        <f t="shared" si="34"/>
        <v>20055</v>
      </c>
      <c r="H34" s="18">
        <v>20055</v>
      </c>
      <c r="I34" s="18"/>
      <c r="J34" s="18"/>
      <c r="K34" s="18"/>
      <c r="L34" s="6">
        <v>2022</v>
      </c>
      <c r="M34" s="22">
        <v>1</v>
      </c>
      <c r="N34" s="6">
        <v>4</v>
      </c>
      <c r="O34" s="6">
        <v>13</v>
      </c>
      <c r="P34" s="13"/>
      <c r="Q34" s="86" t="s">
        <v>303</v>
      </c>
      <c r="R34" s="37">
        <f t="shared" si="30"/>
        <v>10329</v>
      </c>
      <c r="S34" s="18">
        <v>8000</v>
      </c>
      <c r="T34" s="18">
        <v>2329</v>
      </c>
      <c r="U34" s="6">
        <v>2021</v>
      </c>
      <c r="V34" s="6">
        <v>2</v>
      </c>
      <c r="W34" s="10">
        <f t="shared" si="35"/>
        <v>10329</v>
      </c>
      <c r="X34" s="18">
        <v>8000</v>
      </c>
      <c r="Y34" s="18">
        <v>2329</v>
      </c>
      <c r="Z34" s="18"/>
      <c r="AA34" s="10">
        <f t="shared" si="31"/>
        <v>10329</v>
      </c>
      <c r="AB34" s="29">
        <f t="shared" si="32"/>
        <v>8000</v>
      </c>
      <c r="AC34" s="29">
        <f t="shared" si="32"/>
        <v>2329</v>
      </c>
      <c r="AD34" s="10">
        <f t="shared" si="33"/>
        <v>8000</v>
      </c>
      <c r="AE34" s="85">
        <v>5000</v>
      </c>
      <c r="AF34" s="85">
        <v>2000</v>
      </c>
      <c r="AG34" s="85">
        <v>1000</v>
      </c>
      <c r="AH34" s="85"/>
      <c r="AI34" s="85"/>
      <c r="AJ34" s="85"/>
    </row>
    <row r="35" spans="1:36" ht="51" customHeight="1" x14ac:dyDescent="0.25">
      <c r="A35" s="23">
        <v>5</v>
      </c>
      <c r="B35" s="5" t="s">
        <v>34</v>
      </c>
      <c r="C35" s="22">
        <v>1</v>
      </c>
      <c r="D35" s="22">
        <v>4</v>
      </c>
      <c r="E35" s="22"/>
      <c r="F35" s="22"/>
      <c r="G35" s="18">
        <f t="shared" si="34"/>
        <v>8248</v>
      </c>
      <c r="H35" s="18">
        <v>0</v>
      </c>
      <c r="I35" s="18"/>
      <c r="J35" s="18"/>
      <c r="K35" s="18">
        <v>8248</v>
      </c>
      <c r="L35" s="6">
        <v>2023</v>
      </c>
      <c r="M35" s="22">
        <v>1</v>
      </c>
      <c r="N35" s="6">
        <v>4</v>
      </c>
      <c r="O35" s="6"/>
      <c r="P35" s="13"/>
      <c r="Q35" s="7" t="s">
        <v>444</v>
      </c>
      <c r="R35" s="37">
        <f t="shared" si="30"/>
        <v>6197</v>
      </c>
      <c r="S35" s="72">
        <v>6197</v>
      </c>
      <c r="T35" s="72"/>
      <c r="U35" s="6">
        <v>2022</v>
      </c>
      <c r="V35" s="6">
        <v>2</v>
      </c>
      <c r="W35" s="10">
        <f t="shared" si="35"/>
        <v>5700</v>
      </c>
      <c r="X35" s="10">
        <v>5700</v>
      </c>
      <c r="Y35" s="18">
        <v>0</v>
      </c>
      <c r="Z35" s="18">
        <v>0</v>
      </c>
      <c r="AA35" s="10">
        <f t="shared" si="31"/>
        <v>5700</v>
      </c>
      <c r="AB35" s="29">
        <f t="shared" si="32"/>
        <v>5700</v>
      </c>
      <c r="AC35" s="29">
        <f t="shared" si="32"/>
        <v>0</v>
      </c>
      <c r="AD35" s="10">
        <f t="shared" si="33"/>
        <v>5700</v>
      </c>
      <c r="AE35" s="85"/>
      <c r="AF35" s="85">
        <v>3100</v>
      </c>
      <c r="AG35" s="85"/>
      <c r="AH35" s="85">
        <v>2600</v>
      </c>
      <c r="AI35" s="85"/>
      <c r="AJ35" s="85"/>
    </row>
    <row r="36" spans="1:36" ht="46.9" customHeight="1" x14ac:dyDescent="0.25">
      <c r="A36" s="5">
        <v>6</v>
      </c>
      <c r="B36" s="5" t="s">
        <v>35</v>
      </c>
      <c r="C36" s="22">
        <v>1</v>
      </c>
      <c r="D36" s="22">
        <v>3</v>
      </c>
      <c r="E36" s="22"/>
      <c r="F36" s="22"/>
      <c r="G36" s="18">
        <f t="shared" si="34"/>
        <v>6132</v>
      </c>
      <c r="H36" s="18">
        <v>0</v>
      </c>
      <c r="I36" s="18"/>
      <c r="J36" s="18"/>
      <c r="K36" s="18">
        <v>6132</v>
      </c>
      <c r="L36" s="6">
        <v>2023</v>
      </c>
      <c r="M36" s="22">
        <v>1</v>
      </c>
      <c r="N36" s="6">
        <v>3</v>
      </c>
      <c r="O36" s="6"/>
      <c r="P36" s="13"/>
      <c r="Q36" s="7" t="s">
        <v>443</v>
      </c>
      <c r="R36" s="37">
        <f t="shared" si="30"/>
        <v>5816</v>
      </c>
      <c r="S36" s="72">
        <f>5000</f>
        <v>5000</v>
      </c>
      <c r="T36" s="72">
        <v>816</v>
      </c>
      <c r="U36" s="6">
        <v>2022</v>
      </c>
      <c r="V36" s="6">
        <v>2</v>
      </c>
      <c r="W36" s="10">
        <f t="shared" si="35"/>
        <v>5816</v>
      </c>
      <c r="X36" s="85">
        <v>5000</v>
      </c>
      <c r="Y36" s="18">
        <v>816</v>
      </c>
      <c r="Z36" s="18"/>
      <c r="AA36" s="10">
        <f t="shared" si="31"/>
        <v>5816</v>
      </c>
      <c r="AB36" s="29">
        <f t="shared" si="32"/>
        <v>5000</v>
      </c>
      <c r="AC36" s="29">
        <f t="shared" si="32"/>
        <v>816</v>
      </c>
      <c r="AD36" s="10">
        <f t="shared" si="33"/>
        <v>5000</v>
      </c>
      <c r="AE36" s="85"/>
      <c r="AF36" s="85">
        <v>2000</v>
      </c>
      <c r="AG36" s="85">
        <v>2000</v>
      </c>
      <c r="AH36" s="84">
        <v>1000</v>
      </c>
      <c r="AI36" s="85"/>
      <c r="AJ36" s="85"/>
    </row>
    <row r="37" spans="1:36" ht="45" customHeight="1" x14ac:dyDescent="0.25">
      <c r="A37" s="5">
        <v>7</v>
      </c>
      <c r="B37" s="5" t="s">
        <v>36</v>
      </c>
      <c r="C37" s="22">
        <v>1</v>
      </c>
      <c r="D37" s="22"/>
      <c r="E37" s="22">
        <v>5</v>
      </c>
      <c r="F37" s="22"/>
      <c r="G37" s="18">
        <f t="shared" si="34"/>
        <v>3622</v>
      </c>
      <c r="H37" s="18">
        <v>0</v>
      </c>
      <c r="I37" s="18"/>
      <c r="J37" s="18"/>
      <c r="K37" s="18">
        <v>3622</v>
      </c>
      <c r="L37" s="6">
        <v>2024</v>
      </c>
      <c r="M37" s="22">
        <v>1</v>
      </c>
      <c r="N37" s="6"/>
      <c r="O37" s="6">
        <v>7</v>
      </c>
      <c r="P37" s="13"/>
      <c r="Q37" s="7" t="s">
        <v>445</v>
      </c>
      <c r="R37" s="37">
        <f t="shared" si="30"/>
        <v>7212</v>
      </c>
      <c r="S37" s="72">
        <v>6000</v>
      </c>
      <c r="T37" s="72">
        <v>1212</v>
      </c>
      <c r="U37" s="6">
        <v>2022</v>
      </c>
      <c r="V37" s="6">
        <v>2</v>
      </c>
      <c r="W37" s="10">
        <f t="shared" si="35"/>
        <v>7212</v>
      </c>
      <c r="X37" s="85">
        <v>6000</v>
      </c>
      <c r="Y37" s="18">
        <v>1212</v>
      </c>
      <c r="Z37" s="18"/>
      <c r="AA37" s="10">
        <f t="shared" si="31"/>
        <v>7212</v>
      </c>
      <c r="AB37" s="29">
        <f t="shared" si="32"/>
        <v>6000</v>
      </c>
      <c r="AC37" s="29">
        <f t="shared" si="32"/>
        <v>1212</v>
      </c>
      <c r="AD37" s="10">
        <f t="shared" si="33"/>
        <v>6000</v>
      </c>
      <c r="AE37" s="85"/>
      <c r="AF37" s="85">
        <v>4400</v>
      </c>
      <c r="AG37" s="85">
        <v>1000</v>
      </c>
      <c r="AH37" s="85">
        <v>600</v>
      </c>
      <c r="AI37" s="85"/>
      <c r="AJ37" s="85"/>
    </row>
    <row r="38" spans="1:36" ht="34.5" customHeight="1" x14ac:dyDescent="0.25">
      <c r="A38" s="6"/>
      <c r="B38" s="51" t="s">
        <v>37</v>
      </c>
      <c r="C38" s="56">
        <f t="shared" ref="C38:G38" si="36">SUM(C39:C44)</f>
        <v>6</v>
      </c>
      <c r="D38" s="56">
        <f t="shared" si="36"/>
        <v>39</v>
      </c>
      <c r="E38" s="56">
        <f t="shared" si="36"/>
        <v>72</v>
      </c>
      <c r="F38" s="56">
        <f t="shared" si="36"/>
        <v>0</v>
      </c>
      <c r="G38" s="56">
        <f t="shared" si="36"/>
        <v>76814</v>
      </c>
      <c r="H38" s="56">
        <f>SUM(H39:H44)</f>
        <v>34381</v>
      </c>
      <c r="I38" s="56">
        <f>SUM(I39:I44)</f>
        <v>0</v>
      </c>
      <c r="J38" s="56">
        <f>SUM(J39:J44)</f>
        <v>900</v>
      </c>
      <c r="K38" s="56">
        <f>SUM(K39:K44)</f>
        <v>41533</v>
      </c>
      <c r="L38" s="14"/>
      <c r="M38" s="56">
        <f>SUM(M39:M44)</f>
        <v>6</v>
      </c>
      <c r="N38" s="14">
        <f>SUM(N39:N44)</f>
        <v>54</v>
      </c>
      <c r="O38" s="14">
        <f>SUM(O39:O44)</f>
        <v>62</v>
      </c>
      <c r="P38" s="15"/>
      <c r="Q38" s="57"/>
      <c r="R38" s="14">
        <f t="shared" ref="R38:T38" si="37">SUM(R39:R44)</f>
        <v>102483</v>
      </c>
      <c r="S38" s="14">
        <f t="shared" si="37"/>
        <v>102483</v>
      </c>
      <c r="T38" s="14">
        <f t="shared" si="37"/>
        <v>0</v>
      </c>
      <c r="U38" s="14"/>
      <c r="V38" s="14"/>
      <c r="W38" s="14">
        <f t="shared" ref="W38:AD38" si="38">SUM(W39:W44)</f>
        <v>87998.720000000001</v>
      </c>
      <c r="X38" s="14">
        <f t="shared" si="38"/>
        <v>80705</v>
      </c>
      <c r="Y38" s="14">
        <f t="shared" si="38"/>
        <v>7293.7199999999993</v>
      </c>
      <c r="Z38" s="14">
        <f t="shared" si="38"/>
        <v>0</v>
      </c>
      <c r="AA38" s="14">
        <f t="shared" si="38"/>
        <v>87998.720000000001</v>
      </c>
      <c r="AB38" s="14">
        <f t="shared" si="38"/>
        <v>80705</v>
      </c>
      <c r="AC38" s="14">
        <f t="shared" si="38"/>
        <v>7293.7199999999993</v>
      </c>
      <c r="AD38" s="14">
        <f t="shared" si="38"/>
        <v>80705</v>
      </c>
      <c r="AE38" s="14">
        <f t="shared" ref="AE38:AJ38" si="39">SUM(AE39:AE44)</f>
        <v>29000</v>
      </c>
      <c r="AF38" s="14">
        <f t="shared" si="39"/>
        <v>30500</v>
      </c>
      <c r="AG38" s="14">
        <f t="shared" si="39"/>
        <v>11325</v>
      </c>
      <c r="AH38" s="14">
        <f t="shared" si="39"/>
        <v>9880</v>
      </c>
      <c r="AI38" s="14">
        <f t="shared" si="39"/>
        <v>0</v>
      </c>
      <c r="AJ38" s="14">
        <f t="shared" si="39"/>
        <v>0</v>
      </c>
    </row>
    <row r="39" spans="1:36" ht="45.6" customHeight="1" x14ac:dyDescent="0.25">
      <c r="A39" s="22">
        <v>1</v>
      </c>
      <c r="B39" s="5" t="s">
        <v>39</v>
      </c>
      <c r="C39" s="22">
        <v>1</v>
      </c>
      <c r="D39" s="22">
        <v>10</v>
      </c>
      <c r="E39" s="22">
        <v>12</v>
      </c>
      <c r="F39" s="22"/>
      <c r="G39" s="18">
        <f t="shared" si="34"/>
        <v>14542</v>
      </c>
      <c r="H39" s="18">
        <v>14542</v>
      </c>
      <c r="I39" s="18"/>
      <c r="J39" s="18"/>
      <c r="K39" s="18"/>
      <c r="L39" s="6">
        <v>2021</v>
      </c>
      <c r="M39" s="22">
        <v>1</v>
      </c>
      <c r="N39" s="6">
        <v>10</v>
      </c>
      <c r="O39" s="6">
        <v>12</v>
      </c>
      <c r="P39" s="13"/>
      <c r="Q39" s="7" t="s">
        <v>304</v>
      </c>
      <c r="R39" s="37">
        <f t="shared" si="30"/>
        <v>19125</v>
      </c>
      <c r="S39" s="72">
        <v>19125</v>
      </c>
      <c r="T39" s="72"/>
      <c r="U39" s="6">
        <v>2021</v>
      </c>
      <c r="V39" s="6">
        <v>1</v>
      </c>
      <c r="W39" s="10">
        <f t="shared" si="35"/>
        <v>15324.023999999999</v>
      </c>
      <c r="X39" s="85">
        <v>14000</v>
      </c>
      <c r="Y39" s="85">
        <v>1324.0239999999994</v>
      </c>
      <c r="Z39" s="18"/>
      <c r="AA39" s="10">
        <f t="shared" ref="AA39:AA49" si="40">AB39+AC39</f>
        <v>15324.023999999999</v>
      </c>
      <c r="AB39" s="29">
        <f t="shared" ref="AB39:AC44" si="41">X39</f>
        <v>14000</v>
      </c>
      <c r="AC39" s="29">
        <f t="shared" si="41"/>
        <v>1324.0239999999994</v>
      </c>
      <c r="AD39" s="10">
        <f t="shared" si="33"/>
        <v>14000</v>
      </c>
      <c r="AE39" s="85">
        <v>8000</v>
      </c>
      <c r="AF39" s="85">
        <v>3500</v>
      </c>
      <c r="AG39" s="85">
        <v>2000</v>
      </c>
      <c r="AH39" s="85">
        <v>500</v>
      </c>
      <c r="AI39" s="85"/>
      <c r="AJ39" s="85"/>
    </row>
    <row r="40" spans="1:36" ht="46.9" customHeight="1" x14ac:dyDescent="0.25">
      <c r="A40" s="22">
        <v>2</v>
      </c>
      <c r="B40" s="5" t="s">
        <v>40</v>
      </c>
      <c r="C40" s="22">
        <v>1</v>
      </c>
      <c r="D40" s="22">
        <v>0</v>
      </c>
      <c r="E40" s="22">
        <v>15</v>
      </c>
      <c r="F40" s="22"/>
      <c r="G40" s="18">
        <f t="shared" si="34"/>
        <v>9926</v>
      </c>
      <c r="H40" s="18">
        <v>9926</v>
      </c>
      <c r="I40" s="18"/>
      <c r="J40" s="18"/>
      <c r="K40" s="18"/>
      <c r="L40" s="6">
        <v>2021</v>
      </c>
      <c r="M40" s="22">
        <v>1</v>
      </c>
      <c r="N40" s="6">
        <v>0</v>
      </c>
      <c r="O40" s="6">
        <v>15</v>
      </c>
      <c r="P40" s="13"/>
      <c r="Q40" s="7" t="s">
        <v>305</v>
      </c>
      <c r="R40" s="37">
        <f t="shared" si="30"/>
        <v>13099</v>
      </c>
      <c r="S40" s="72">
        <v>13099</v>
      </c>
      <c r="T40" s="72"/>
      <c r="U40" s="6">
        <v>2021</v>
      </c>
      <c r="V40" s="6">
        <v>2</v>
      </c>
      <c r="W40" s="10">
        <f t="shared" si="35"/>
        <v>13099.394999999999</v>
      </c>
      <c r="X40" s="85">
        <v>12505</v>
      </c>
      <c r="Y40" s="85">
        <v>594.39499999999862</v>
      </c>
      <c r="Z40" s="18"/>
      <c r="AA40" s="10">
        <f t="shared" si="40"/>
        <v>13099.394999999999</v>
      </c>
      <c r="AB40" s="29">
        <f t="shared" si="41"/>
        <v>12505</v>
      </c>
      <c r="AC40" s="29">
        <f t="shared" si="41"/>
        <v>594.39499999999862</v>
      </c>
      <c r="AD40" s="10">
        <f t="shared" si="33"/>
        <v>12505</v>
      </c>
      <c r="AE40" s="85">
        <v>6000</v>
      </c>
      <c r="AF40" s="85">
        <v>6300</v>
      </c>
      <c r="AG40" s="85">
        <v>205</v>
      </c>
      <c r="AH40" s="85"/>
      <c r="AI40" s="85"/>
      <c r="AJ40" s="85"/>
    </row>
    <row r="41" spans="1:36" ht="45.6" customHeight="1" x14ac:dyDescent="0.25">
      <c r="A41" s="22">
        <v>3</v>
      </c>
      <c r="B41" s="5" t="s">
        <v>41</v>
      </c>
      <c r="C41" s="22">
        <v>1</v>
      </c>
      <c r="D41" s="22">
        <v>4</v>
      </c>
      <c r="E41" s="22">
        <v>9</v>
      </c>
      <c r="F41" s="22"/>
      <c r="G41" s="18">
        <f t="shared" si="34"/>
        <v>9913</v>
      </c>
      <c r="H41" s="18">
        <v>9913</v>
      </c>
      <c r="I41" s="18"/>
      <c r="J41" s="18"/>
      <c r="K41" s="18"/>
      <c r="L41" s="6">
        <v>2021</v>
      </c>
      <c r="M41" s="22">
        <v>1</v>
      </c>
      <c r="N41" s="6">
        <v>12</v>
      </c>
      <c r="O41" s="6">
        <v>9</v>
      </c>
      <c r="P41" s="13"/>
      <c r="Q41" s="7" t="s">
        <v>306</v>
      </c>
      <c r="R41" s="37">
        <f t="shared" si="30"/>
        <v>19680</v>
      </c>
      <c r="S41" s="72">
        <v>19680</v>
      </c>
      <c r="T41" s="72"/>
      <c r="U41" s="6">
        <v>2021</v>
      </c>
      <c r="V41" s="6">
        <v>2</v>
      </c>
      <c r="W41" s="10">
        <f t="shared" si="35"/>
        <v>20232.251</v>
      </c>
      <c r="X41" s="85">
        <v>19000</v>
      </c>
      <c r="Y41" s="85">
        <v>1232.2510000000002</v>
      </c>
      <c r="Z41" s="18"/>
      <c r="AA41" s="10">
        <f t="shared" si="40"/>
        <v>20232.251</v>
      </c>
      <c r="AB41" s="29">
        <f t="shared" si="41"/>
        <v>19000</v>
      </c>
      <c r="AC41" s="29">
        <f t="shared" si="41"/>
        <v>1232.2510000000002</v>
      </c>
      <c r="AD41" s="10">
        <f t="shared" si="33"/>
        <v>19000</v>
      </c>
      <c r="AE41" s="85">
        <v>500</v>
      </c>
      <c r="AF41" s="85">
        <v>4500</v>
      </c>
      <c r="AG41" s="85">
        <v>4620</v>
      </c>
      <c r="AH41" s="85">
        <f>14000-4620</f>
        <v>9380</v>
      </c>
      <c r="AI41" s="85"/>
      <c r="AJ41" s="85"/>
    </row>
    <row r="42" spans="1:36" ht="43.15" customHeight="1" x14ac:dyDescent="0.25">
      <c r="A42" s="22">
        <v>4</v>
      </c>
      <c r="B42" s="5" t="s">
        <v>42</v>
      </c>
      <c r="C42" s="22">
        <v>1</v>
      </c>
      <c r="D42" s="22">
        <v>4</v>
      </c>
      <c r="E42" s="22">
        <v>7</v>
      </c>
      <c r="F42" s="22"/>
      <c r="G42" s="18">
        <f t="shared" si="34"/>
        <v>7441</v>
      </c>
      <c r="H42" s="18">
        <v>0</v>
      </c>
      <c r="I42" s="18"/>
      <c r="J42" s="18"/>
      <c r="K42" s="18">
        <v>7441</v>
      </c>
      <c r="L42" s="6">
        <v>2022</v>
      </c>
      <c r="M42" s="22">
        <v>1</v>
      </c>
      <c r="N42" s="6">
        <v>12</v>
      </c>
      <c r="O42" s="6">
        <v>0</v>
      </c>
      <c r="P42" s="13"/>
      <c r="Q42" s="7" t="s">
        <v>307</v>
      </c>
      <c r="R42" s="37">
        <f t="shared" si="30"/>
        <v>9017</v>
      </c>
      <c r="S42" s="72">
        <v>9017</v>
      </c>
      <c r="T42" s="72"/>
      <c r="U42" s="6">
        <v>2021</v>
      </c>
      <c r="V42" s="6">
        <v>1</v>
      </c>
      <c r="W42" s="10">
        <f t="shared" si="35"/>
        <v>9017.4940000000006</v>
      </c>
      <c r="X42" s="85">
        <v>8500</v>
      </c>
      <c r="Y42" s="85">
        <v>517.4940000000006</v>
      </c>
      <c r="Z42" s="18"/>
      <c r="AA42" s="10">
        <f t="shared" si="40"/>
        <v>9017.4940000000006</v>
      </c>
      <c r="AB42" s="29">
        <f t="shared" si="41"/>
        <v>8500</v>
      </c>
      <c r="AC42" s="29">
        <f t="shared" si="41"/>
        <v>517.4940000000006</v>
      </c>
      <c r="AD42" s="10">
        <f t="shared" si="33"/>
        <v>8500</v>
      </c>
      <c r="AE42" s="85">
        <v>4500</v>
      </c>
      <c r="AF42" s="85">
        <v>3500</v>
      </c>
      <c r="AG42" s="85">
        <v>500</v>
      </c>
      <c r="AH42" s="85"/>
      <c r="AI42" s="85"/>
      <c r="AJ42" s="85"/>
    </row>
    <row r="43" spans="1:36" ht="43.15" customHeight="1" x14ac:dyDescent="0.25">
      <c r="A43" s="22">
        <v>5</v>
      </c>
      <c r="B43" s="5" t="s">
        <v>43</v>
      </c>
      <c r="C43" s="22">
        <v>1</v>
      </c>
      <c r="D43" s="22">
        <v>10</v>
      </c>
      <c r="E43" s="22">
        <v>11</v>
      </c>
      <c r="F43" s="22"/>
      <c r="G43" s="18">
        <f t="shared" si="34"/>
        <v>14001</v>
      </c>
      <c r="H43" s="18">
        <v>0</v>
      </c>
      <c r="I43" s="18"/>
      <c r="J43" s="18"/>
      <c r="K43" s="18">
        <v>14001</v>
      </c>
      <c r="L43" s="6">
        <v>2023</v>
      </c>
      <c r="M43" s="22">
        <v>1</v>
      </c>
      <c r="N43" s="6">
        <v>10</v>
      </c>
      <c r="O43" s="6">
        <v>8</v>
      </c>
      <c r="P43" s="13"/>
      <c r="Q43" s="7" t="s">
        <v>308</v>
      </c>
      <c r="R43" s="37">
        <f t="shared" si="30"/>
        <v>11882</v>
      </c>
      <c r="S43" s="72">
        <v>11882</v>
      </c>
      <c r="T43" s="72"/>
      <c r="U43" s="6">
        <v>2021</v>
      </c>
      <c r="V43" s="6">
        <v>1</v>
      </c>
      <c r="W43" s="10">
        <f t="shared" si="35"/>
        <v>11881.749</v>
      </c>
      <c r="X43" s="85">
        <v>10500</v>
      </c>
      <c r="Y43" s="85">
        <v>1381.7489999999998</v>
      </c>
      <c r="Z43" s="18"/>
      <c r="AA43" s="10">
        <f t="shared" si="40"/>
        <v>11881.749</v>
      </c>
      <c r="AB43" s="29">
        <f t="shared" si="41"/>
        <v>10500</v>
      </c>
      <c r="AC43" s="29">
        <f t="shared" si="41"/>
        <v>1381.7489999999998</v>
      </c>
      <c r="AD43" s="10">
        <f t="shared" si="33"/>
        <v>10500</v>
      </c>
      <c r="AE43" s="85">
        <v>5000</v>
      </c>
      <c r="AF43" s="85">
        <v>4500</v>
      </c>
      <c r="AG43" s="85">
        <v>1000</v>
      </c>
      <c r="AH43" s="85"/>
      <c r="AI43" s="85"/>
      <c r="AJ43" s="85"/>
    </row>
    <row r="44" spans="1:36" ht="39" customHeight="1" x14ac:dyDescent="0.25">
      <c r="A44" s="22">
        <v>6</v>
      </c>
      <c r="B44" s="5" t="s">
        <v>38</v>
      </c>
      <c r="C44" s="22">
        <v>1</v>
      </c>
      <c r="D44" s="22">
        <v>11</v>
      </c>
      <c r="E44" s="22">
        <v>18</v>
      </c>
      <c r="F44" s="22"/>
      <c r="G44" s="18">
        <f t="shared" si="34"/>
        <v>20991</v>
      </c>
      <c r="H44" s="18">
        <v>0</v>
      </c>
      <c r="I44" s="18"/>
      <c r="J44" s="18">
        <v>900</v>
      </c>
      <c r="K44" s="18">
        <v>20091</v>
      </c>
      <c r="L44" s="6">
        <v>2023</v>
      </c>
      <c r="M44" s="22">
        <v>1</v>
      </c>
      <c r="N44" s="6">
        <v>10</v>
      </c>
      <c r="O44" s="6">
        <v>18</v>
      </c>
      <c r="P44" s="13"/>
      <c r="Q44" s="7" t="s">
        <v>309</v>
      </c>
      <c r="R44" s="37">
        <f t="shared" si="30"/>
        <v>29680</v>
      </c>
      <c r="S44" s="72">
        <v>29680</v>
      </c>
      <c r="T44" s="72"/>
      <c r="U44" s="6">
        <v>2021</v>
      </c>
      <c r="V44" s="6">
        <v>1</v>
      </c>
      <c r="W44" s="10">
        <f t="shared" si="35"/>
        <v>18443.807000000001</v>
      </c>
      <c r="X44" s="85">
        <v>16200</v>
      </c>
      <c r="Y44" s="85">
        <v>2243.8070000000007</v>
      </c>
      <c r="Z44" s="18"/>
      <c r="AA44" s="10">
        <f t="shared" si="40"/>
        <v>18443.807000000001</v>
      </c>
      <c r="AB44" s="29">
        <f t="shared" si="41"/>
        <v>16200</v>
      </c>
      <c r="AC44" s="29">
        <f t="shared" si="41"/>
        <v>2243.8070000000007</v>
      </c>
      <c r="AD44" s="10">
        <f t="shared" si="33"/>
        <v>16200</v>
      </c>
      <c r="AE44" s="85">
        <v>5000</v>
      </c>
      <c r="AF44" s="85">
        <f>5200+3000</f>
        <v>8200</v>
      </c>
      <c r="AG44" s="85">
        <v>3000</v>
      </c>
      <c r="AH44" s="85"/>
      <c r="AI44" s="85"/>
      <c r="AJ44" s="85"/>
    </row>
    <row r="45" spans="1:36" ht="38.25" customHeight="1" x14ac:dyDescent="0.25">
      <c r="A45" s="22"/>
      <c r="B45" s="51" t="s">
        <v>44</v>
      </c>
      <c r="C45" s="56">
        <f>SUM(C46:C49)</f>
        <v>4</v>
      </c>
      <c r="D45" s="56">
        <f t="shared" ref="D45:AJ45" si="42">SUM(D46:D49)</f>
        <v>29</v>
      </c>
      <c r="E45" s="56">
        <f t="shared" si="42"/>
        <v>86</v>
      </c>
      <c r="F45" s="56">
        <f t="shared" si="42"/>
        <v>0</v>
      </c>
      <c r="G45" s="56">
        <f t="shared" si="42"/>
        <v>95303</v>
      </c>
      <c r="H45" s="56">
        <f t="shared" si="42"/>
        <v>74450</v>
      </c>
      <c r="I45" s="56">
        <f t="shared" si="42"/>
        <v>0</v>
      </c>
      <c r="J45" s="56">
        <f t="shared" si="42"/>
        <v>0</v>
      </c>
      <c r="K45" s="56">
        <f t="shared" si="42"/>
        <v>20853</v>
      </c>
      <c r="L45" s="14"/>
      <c r="M45" s="56">
        <f t="shared" si="42"/>
        <v>4</v>
      </c>
      <c r="N45" s="14">
        <f t="shared" si="42"/>
        <v>29</v>
      </c>
      <c r="O45" s="14">
        <f t="shared" si="42"/>
        <v>92</v>
      </c>
      <c r="P45" s="15"/>
      <c r="Q45" s="57"/>
      <c r="R45" s="14">
        <f t="shared" si="42"/>
        <v>132624</v>
      </c>
      <c r="S45" s="14">
        <f t="shared" si="42"/>
        <v>132624</v>
      </c>
      <c r="T45" s="14">
        <f t="shared" si="42"/>
        <v>0</v>
      </c>
      <c r="U45" s="14"/>
      <c r="V45" s="14"/>
      <c r="W45" s="14">
        <f t="shared" si="42"/>
        <v>106602.683</v>
      </c>
      <c r="X45" s="14">
        <f>SUM(X46:X49)</f>
        <v>96052</v>
      </c>
      <c r="Y45" s="14">
        <f t="shared" si="42"/>
        <v>10550.682999999997</v>
      </c>
      <c r="Z45" s="14">
        <f t="shared" si="42"/>
        <v>0</v>
      </c>
      <c r="AA45" s="14">
        <f t="shared" si="42"/>
        <v>106602.683</v>
      </c>
      <c r="AB45" s="14">
        <f t="shared" si="42"/>
        <v>96052</v>
      </c>
      <c r="AC45" s="14">
        <f t="shared" si="42"/>
        <v>10550.682999999997</v>
      </c>
      <c r="AD45" s="14">
        <f t="shared" si="42"/>
        <v>96052</v>
      </c>
      <c r="AE45" s="14">
        <f t="shared" si="42"/>
        <v>43832</v>
      </c>
      <c r="AF45" s="14">
        <f t="shared" si="42"/>
        <v>25200</v>
      </c>
      <c r="AG45" s="14">
        <f t="shared" si="42"/>
        <v>9980</v>
      </c>
      <c r="AH45" s="14">
        <f t="shared" si="42"/>
        <v>17040</v>
      </c>
      <c r="AI45" s="14">
        <f t="shared" si="42"/>
        <v>0</v>
      </c>
      <c r="AJ45" s="14">
        <f t="shared" si="42"/>
        <v>0</v>
      </c>
    </row>
    <row r="46" spans="1:36" ht="43.15" customHeight="1" x14ac:dyDescent="0.25">
      <c r="A46" s="22">
        <v>1</v>
      </c>
      <c r="B46" s="5" t="s">
        <v>45</v>
      </c>
      <c r="C46" s="22">
        <v>1</v>
      </c>
      <c r="D46" s="22">
        <v>12</v>
      </c>
      <c r="E46" s="22">
        <v>24</v>
      </c>
      <c r="F46" s="22"/>
      <c r="G46" s="18">
        <f t="shared" si="34"/>
        <v>29926</v>
      </c>
      <c r="H46" s="18">
        <v>29926</v>
      </c>
      <c r="I46" s="18"/>
      <c r="J46" s="18"/>
      <c r="K46" s="18"/>
      <c r="L46" s="6">
        <v>2021</v>
      </c>
      <c r="M46" s="22">
        <v>1</v>
      </c>
      <c r="N46" s="6">
        <v>12</v>
      </c>
      <c r="O46" s="6">
        <v>26</v>
      </c>
      <c r="P46" s="13"/>
      <c r="Q46" s="13" t="s">
        <v>310</v>
      </c>
      <c r="R46" s="37">
        <f t="shared" si="30"/>
        <v>37179</v>
      </c>
      <c r="S46" s="72">
        <v>37179</v>
      </c>
      <c r="T46" s="72"/>
      <c r="U46" s="6">
        <v>2021</v>
      </c>
      <c r="V46" s="6">
        <v>1</v>
      </c>
      <c r="W46" s="10">
        <f t="shared" si="35"/>
        <v>30720.793999999998</v>
      </c>
      <c r="X46" s="85">
        <v>28100</v>
      </c>
      <c r="Y46" s="85">
        <v>2620.7939999999981</v>
      </c>
      <c r="Z46" s="18"/>
      <c r="AA46" s="10">
        <f t="shared" si="40"/>
        <v>30720.793999999998</v>
      </c>
      <c r="AB46" s="85">
        <v>28100</v>
      </c>
      <c r="AC46" s="85">
        <v>2620.7939999999981</v>
      </c>
      <c r="AD46" s="10">
        <f t="shared" si="33"/>
        <v>28100</v>
      </c>
      <c r="AE46" s="85">
        <v>15000</v>
      </c>
      <c r="AF46" s="85">
        <f>1300+3000</f>
        <v>4300</v>
      </c>
      <c r="AG46" s="85">
        <v>1800</v>
      </c>
      <c r="AH46" s="85">
        <f>8800-1800</f>
        <v>7000</v>
      </c>
      <c r="AI46" s="85"/>
      <c r="AJ46" s="85"/>
    </row>
    <row r="47" spans="1:36" ht="45" customHeight="1" x14ac:dyDescent="0.25">
      <c r="A47" s="22">
        <v>2</v>
      </c>
      <c r="B47" s="5" t="s">
        <v>46</v>
      </c>
      <c r="C47" s="22">
        <v>1</v>
      </c>
      <c r="D47" s="22">
        <v>2</v>
      </c>
      <c r="E47" s="22">
        <v>23</v>
      </c>
      <c r="F47" s="22"/>
      <c r="G47" s="18">
        <f t="shared" si="34"/>
        <v>20060</v>
      </c>
      <c r="H47" s="18">
        <v>20060</v>
      </c>
      <c r="I47" s="18"/>
      <c r="J47" s="18"/>
      <c r="K47" s="18"/>
      <c r="L47" s="6">
        <v>2021</v>
      </c>
      <c r="M47" s="22">
        <v>1</v>
      </c>
      <c r="N47" s="6">
        <v>2</v>
      </c>
      <c r="O47" s="6">
        <v>25</v>
      </c>
      <c r="P47" s="13"/>
      <c r="Q47" s="13" t="s">
        <v>311</v>
      </c>
      <c r="R47" s="37">
        <f t="shared" si="30"/>
        <v>29776</v>
      </c>
      <c r="S47" s="72">
        <v>29776</v>
      </c>
      <c r="T47" s="72"/>
      <c r="U47" s="6">
        <v>2021</v>
      </c>
      <c r="V47" s="6">
        <v>2</v>
      </c>
      <c r="W47" s="10">
        <f t="shared" si="35"/>
        <v>23214.184000000001</v>
      </c>
      <c r="X47" s="85">
        <v>20400</v>
      </c>
      <c r="Y47" s="85">
        <v>2814.1840000000011</v>
      </c>
      <c r="Z47" s="18"/>
      <c r="AA47" s="10">
        <f t="shared" si="40"/>
        <v>23214.184000000001</v>
      </c>
      <c r="AB47" s="85">
        <v>20400</v>
      </c>
      <c r="AC47" s="85">
        <v>2814.1840000000011</v>
      </c>
      <c r="AD47" s="10">
        <f t="shared" si="33"/>
        <v>20400</v>
      </c>
      <c r="AE47" s="85">
        <v>12000</v>
      </c>
      <c r="AF47" s="85">
        <v>4700</v>
      </c>
      <c r="AG47" s="85">
        <v>1300</v>
      </c>
      <c r="AH47" s="85">
        <f>3700-1300</f>
        <v>2400</v>
      </c>
      <c r="AI47" s="85"/>
      <c r="AJ47" s="85"/>
    </row>
    <row r="48" spans="1:36" ht="42.6" customHeight="1" x14ac:dyDescent="0.25">
      <c r="A48" s="22">
        <v>3</v>
      </c>
      <c r="B48" s="5" t="s">
        <v>47</v>
      </c>
      <c r="C48" s="22">
        <v>1</v>
      </c>
      <c r="D48" s="22">
        <v>3</v>
      </c>
      <c r="E48" s="22">
        <v>23</v>
      </c>
      <c r="F48" s="22"/>
      <c r="G48" s="18">
        <f t="shared" si="34"/>
        <v>20853</v>
      </c>
      <c r="H48" s="18">
        <v>0</v>
      </c>
      <c r="I48" s="18"/>
      <c r="J48" s="18"/>
      <c r="K48" s="18">
        <v>20853</v>
      </c>
      <c r="L48" s="6">
        <v>2024</v>
      </c>
      <c r="M48" s="22">
        <v>1</v>
      </c>
      <c r="N48" s="6">
        <v>3</v>
      </c>
      <c r="O48" s="6">
        <v>27</v>
      </c>
      <c r="P48" s="13"/>
      <c r="Q48" s="13" t="s">
        <v>312</v>
      </c>
      <c r="R48" s="37">
        <f t="shared" si="30"/>
        <v>35946</v>
      </c>
      <c r="S48" s="72">
        <v>35946</v>
      </c>
      <c r="T48" s="72"/>
      <c r="U48" s="6">
        <v>2021</v>
      </c>
      <c r="V48" s="6">
        <v>1</v>
      </c>
      <c r="W48" s="10">
        <f t="shared" si="35"/>
        <v>30242.311999999998</v>
      </c>
      <c r="X48" s="85">
        <v>26352</v>
      </c>
      <c r="Y48" s="85">
        <v>3890.3119999999981</v>
      </c>
      <c r="Z48" s="18"/>
      <c r="AA48" s="10">
        <f t="shared" si="40"/>
        <v>30242.311999999998</v>
      </c>
      <c r="AB48" s="85">
        <v>26352</v>
      </c>
      <c r="AC48" s="85">
        <v>3890.3119999999981</v>
      </c>
      <c r="AD48" s="10">
        <f t="shared" si="33"/>
        <v>26352</v>
      </c>
      <c r="AE48" s="85">
        <v>4832</v>
      </c>
      <c r="AF48" s="85">
        <f>6200+7000</f>
        <v>13200</v>
      </c>
      <c r="AG48" s="85">
        <v>680</v>
      </c>
      <c r="AH48" s="85">
        <f>8320-680</f>
        <v>7640</v>
      </c>
      <c r="AI48" s="85"/>
      <c r="AJ48" s="85"/>
    </row>
    <row r="49" spans="1:37" ht="42.6" customHeight="1" x14ac:dyDescent="0.25">
      <c r="A49" s="22">
        <v>4</v>
      </c>
      <c r="B49" s="5" t="s">
        <v>48</v>
      </c>
      <c r="C49" s="22">
        <v>1</v>
      </c>
      <c r="D49" s="22">
        <v>12</v>
      </c>
      <c r="E49" s="22">
        <v>16</v>
      </c>
      <c r="F49" s="22"/>
      <c r="G49" s="18">
        <f t="shared" si="34"/>
        <v>24464</v>
      </c>
      <c r="H49" s="18">
        <v>24464</v>
      </c>
      <c r="I49" s="18"/>
      <c r="J49" s="18"/>
      <c r="K49" s="18"/>
      <c r="L49" s="6">
        <v>2021</v>
      </c>
      <c r="M49" s="22">
        <v>1</v>
      </c>
      <c r="N49" s="6">
        <v>12</v>
      </c>
      <c r="O49" s="6">
        <v>14</v>
      </c>
      <c r="P49" s="13"/>
      <c r="Q49" s="13" t="s">
        <v>313</v>
      </c>
      <c r="R49" s="37">
        <f t="shared" si="30"/>
        <v>29723</v>
      </c>
      <c r="S49" s="72">
        <v>29723</v>
      </c>
      <c r="T49" s="72"/>
      <c r="U49" s="6">
        <v>2021</v>
      </c>
      <c r="V49" s="6">
        <v>2</v>
      </c>
      <c r="W49" s="10">
        <f t="shared" si="35"/>
        <v>22425.393</v>
      </c>
      <c r="X49" s="85">
        <v>21200</v>
      </c>
      <c r="Y49" s="85">
        <v>1225.393</v>
      </c>
      <c r="Z49" s="18"/>
      <c r="AA49" s="10">
        <f t="shared" si="40"/>
        <v>22425.393</v>
      </c>
      <c r="AB49" s="85">
        <v>21200</v>
      </c>
      <c r="AC49" s="85">
        <v>1225.393</v>
      </c>
      <c r="AD49" s="10">
        <f t="shared" si="33"/>
        <v>21200</v>
      </c>
      <c r="AE49" s="85">
        <v>12000</v>
      </c>
      <c r="AF49" s="85">
        <v>3000</v>
      </c>
      <c r="AG49" s="85">
        <v>6200</v>
      </c>
      <c r="AH49" s="85"/>
      <c r="AI49" s="85"/>
      <c r="AJ49" s="85"/>
    </row>
    <row r="50" spans="1:37" ht="33" customHeight="1" x14ac:dyDescent="0.25">
      <c r="A50" s="11" t="s">
        <v>49</v>
      </c>
      <c r="B50" s="47" t="s">
        <v>50</v>
      </c>
      <c r="C50" s="49">
        <f>C51+C55+C60</f>
        <v>9</v>
      </c>
      <c r="D50" s="49">
        <f t="shared" ref="D50:AJ50" si="43">D51+D55+D60</f>
        <v>51</v>
      </c>
      <c r="E50" s="49">
        <f t="shared" si="43"/>
        <v>151</v>
      </c>
      <c r="F50" s="49">
        <f t="shared" si="43"/>
        <v>0</v>
      </c>
      <c r="G50" s="49">
        <f t="shared" si="43"/>
        <v>153725</v>
      </c>
      <c r="H50" s="49">
        <f t="shared" si="43"/>
        <v>80363</v>
      </c>
      <c r="I50" s="49">
        <f t="shared" si="43"/>
        <v>0</v>
      </c>
      <c r="J50" s="49">
        <f t="shared" si="43"/>
        <v>13920</v>
      </c>
      <c r="K50" s="49">
        <f t="shared" si="43"/>
        <v>59442</v>
      </c>
      <c r="L50" s="49">
        <f t="shared" si="43"/>
        <v>0</v>
      </c>
      <c r="M50" s="49">
        <f t="shared" si="43"/>
        <v>9</v>
      </c>
      <c r="N50" s="49">
        <f t="shared" si="43"/>
        <v>51</v>
      </c>
      <c r="O50" s="49">
        <f t="shared" si="43"/>
        <v>158</v>
      </c>
      <c r="P50" s="49"/>
      <c r="Q50" s="49">
        <f t="shared" si="43"/>
        <v>0</v>
      </c>
      <c r="R50" s="49">
        <f t="shared" si="43"/>
        <v>172872</v>
      </c>
      <c r="S50" s="49">
        <f t="shared" si="43"/>
        <v>155882</v>
      </c>
      <c r="T50" s="49">
        <f t="shared" si="43"/>
        <v>16990</v>
      </c>
      <c r="U50" s="49">
        <f t="shared" si="43"/>
        <v>0</v>
      </c>
      <c r="V50" s="49">
        <f t="shared" si="43"/>
        <v>0</v>
      </c>
      <c r="W50" s="49">
        <f t="shared" si="43"/>
        <v>162206</v>
      </c>
      <c r="X50" s="49">
        <f t="shared" si="43"/>
        <v>150198</v>
      </c>
      <c r="Y50" s="49">
        <f t="shared" si="43"/>
        <v>12008</v>
      </c>
      <c r="Z50" s="49">
        <f t="shared" si="43"/>
        <v>0</v>
      </c>
      <c r="AA50" s="49">
        <f t="shared" si="43"/>
        <v>158407</v>
      </c>
      <c r="AB50" s="49">
        <f t="shared" si="43"/>
        <v>146643</v>
      </c>
      <c r="AC50" s="49">
        <f t="shared" si="43"/>
        <v>11764</v>
      </c>
      <c r="AD50" s="49">
        <f t="shared" si="43"/>
        <v>149643</v>
      </c>
      <c r="AE50" s="49">
        <f t="shared" si="43"/>
        <v>14185</v>
      </c>
      <c r="AF50" s="49">
        <f t="shared" si="43"/>
        <v>31217</v>
      </c>
      <c r="AG50" s="49">
        <f t="shared" si="43"/>
        <v>35303</v>
      </c>
      <c r="AH50" s="49">
        <f t="shared" si="43"/>
        <v>13597</v>
      </c>
      <c r="AI50" s="49">
        <f t="shared" si="43"/>
        <v>39341</v>
      </c>
      <c r="AJ50" s="49">
        <f t="shared" si="43"/>
        <v>16000</v>
      </c>
      <c r="AK50" s="3"/>
    </row>
    <row r="51" spans="1:37" ht="33" customHeight="1" x14ac:dyDescent="0.25">
      <c r="A51" s="5"/>
      <c r="B51" s="47" t="s">
        <v>29</v>
      </c>
      <c r="C51" s="33">
        <f>C52+C53+C54</f>
        <v>3</v>
      </c>
      <c r="D51" s="33">
        <f t="shared" ref="D51:AJ51" si="44">D52+D53+D54</f>
        <v>5</v>
      </c>
      <c r="E51" s="33">
        <f t="shared" si="44"/>
        <v>32</v>
      </c>
      <c r="F51" s="33">
        <f t="shared" si="44"/>
        <v>0</v>
      </c>
      <c r="G51" s="33">
        <f t="shared" si="44"/>
        <v>25620</v>
      </c>
      <c r="H51" s="33">
        <f t="shared" si="44"/>
        <v>17850</v>
      </c>
      <c r="I51" s="33">
        <f t="shared" si="44"/>
        <v>0</v>
      </c>
      <c r="J51" s="33">
        <f t="shared" si="44"/>
        <v>0</v>
      </c>
      <c r="K51" s="33">
        <f t="shared" si="44"/>
        <v>7770</v>
      </c>
      <c r="L51" s="33"/>
      <c r="M51" s="33">
        <f t="shared" si="44"/>
        <v>3</v>
      </c>
      <c r="N51" s="33">
        <f t="shared" si="44"/>
        <v>5</v>
      </c>
      <c r="O51" s="33">
        <f t="shared" si="44"/>
        <v>32</v>
      </c>
      <c r="P51" s="33"/>
      <c r="Q51" s="33"/>
      <c r="R51" s="33">
        <f t="shared" si="44"/>
        <v>19426</v>
      </c>
      <c r="S51" s="33">
        <f t="shared" si="44"/>
        <v>19262</v>
      </c>
      <c r="T51" s="33">
        <f t="shared" si="44"/>
        <v>164</v>
      </c>
      <c r="U51" s="33"/>
      <c r="V51" s="33"/>
      <c r="W51" s="33">
        <f t="shared" si="44"/>
        <v>19426</v>
      </c>
      <c r="X51" s="33">
        <f>X52+X53+X54</f>
        <v>19262</v>
      </c>
      <c r="Y51" s="33">
        <f t="shared" si="44"/>
        <v>164</v>
      </c>
      <c r="Z51" s="33">
        <f t="shared" si="44"/>
        <v>0</v>
      </c>
      <c r="AA51" s="33">
        <f t="shared" si="44"/>
        <v>19426</v>
      </c>
      <c r="AB51" s="33">
        <f t="shared" si="44"/>
        <v>19262</v>
      </c>
      <c r="AC51" s="33">
        <f t="shared" si="44"/>
        <v>164</v>
      </c>
      <c r="AD51" s="33">
        <f t="shared" si="44"/>
        <v>19262</v>
      </c>
      <c r="AE51" s="33">
        <f t="shared" si="44"/>
        <v>10185</v>
      </c>
      <c r="AF51" s="33">
        <f t="shared" si="44"/>
        <v>7277</v>
      </c>
      <c r="AG51" s="33">
        <f t="shared" si="44"/>
        <v>1500</v>
      </c>
      <c r="AH51" s="33">
        <f t="shared" si="44"/>
        <v>300</v>
      </c>
      <c r="AI51" s="33">
        <f t="shared" si="44"/>
        <v>0</v>
      </c>
      <c r="AJ51" s="33">
        <f t="shared" si="44"/>
        <v>0</v>
      </c>
    </row>
    <row r="52" spans="1:37" ht="45.6" customHeight="1" x14ac:dyDescent="0.25">
      <c r="A52" s="5">
        <v>1</v>
      </c>
      <c r="B52" s="5" t="s">
        <v>52</v>
      </c>
      <c r="C52" s="4">
        <v>1</v>
      </c>
      <c r="D52" s="4">
        <v>0</v>
      </c>
      <c r="E52" s="4">
        <v>15</v>
      </c>
      <c r="F52" s="4"/>
      <c r="G52" s="9">
        <f t="shared" ref="G52:G62" si="45">H52+I52+J52+K52</f>
        <v>6881</v>
      </c>
      <c r="H52" s="9">
        <v>6881</v>
      </c>
      <c r="I52" s="9"/>
      <c r="J52" s="9"/>
      <c r="K52" s="9"/>
      <c r="L52" s="7">
        <v>2021</v>
      </c>
      <c r="M52" s="4">
        <v>1</v>
      </c>
      <c r="N52" s="5">
        <v>0</v>
      </c>
      <c r="O52" s="5">
        <v>15</v>
      </c>
      <c r="P52" s="8"/>
      <c r="Q52" s="13" t="s">
        <v>314</v>
      </c>
      <c r="R52" s="37">
        <f t="shared" ref="R52:R54" si="46">S52+T52</f>
        <v>6101</v>
      </c>
      <c r="S52" s="85">
        <v>6027</v>
      </c>
      <c r="T52" s="85">
        <v>74</v>
      </c>
      <c r="U52" s="7">
        <v>2021</v>
      </c>
      <c r="V52" s="7">
        <v>2</v>
      </c>
      <c r="W52" s="10">
        <f t="shared" ref="W52:W62" si="47">X52+Y52+Z52</f>
        <v>6101</v>
      </c>
      <c r="X52" s="73">
        <v>6027</v>
      </c>
      <c r="Y52" s="73">
        <v>74</v>
      </c>
      <c r="Z52" s="9"/>
      <c r="AA52" s="10">
        <f t="shared" ref="AA52:AA62" si="48">AB52+AC52</f>
        <v>6101</v>
      </c>
      <c r="AB52" s="85">
        <v>6027</v>
      </c>
      <c r="AC52" s="85">
        <v>74</v>
      </c>
      <c r="AD52" s="10">
        <f t="shared" ref="AD52:AD62" si="49">AE52+AF52+AG52+AH52+AI52+AJ52</f>
        <v>6027</v>
      </c>
      <c r="AE52" s="81">
        <v>4300</v>
      </c>
      <c r="AF52" s="87">
        <v>1727</v>
      </c>
      <c r="AG52" s="81"/>
      <c r="AH52" s="81"/>
      <c r="AI52" s="81"/>
      <c r="AJ52" s="81"/>
    </row>
    <row r="53" spans="1:37" ht="36.6" customHeight="1" x14ac:dyDescent="0.25">
      <c r="A53" s="5">
        <v>2</v>
      </c>
      <c r="B53" s="5" t="s">
        <v>53</v>
      </c>
      <c r="C53" s="4">
        <v>1</v>
      </c>
      <c r="D53" s="4">
        <v>2</v>
      </c>
      <c r="E53" s="4">
        <v>15</v>
      </c>
      <c r="F53" s="4"/>
      <c r="G53" s="9">
        <f t="shared" si="45"/>
        <v>10969</v>
      </c>
      <c r="H53" s="9">
        <v>10969</v>
      </c>
      <c r="I53" s="9"/>
      <c r="J53" s="9"/>
      <c r="K53" s="9"/>
      <c r="L53" s="7">
        <v>2022</v>
      </c>
      <c r="M53" s="4">
        <v>1</v>
      </c>
      <c r="N53" s="5">
        <v>2</v>
      </c>
      <c r="O53" s="5">
        <v>15</v>
      </c>
      <c r="P53" s="8"/>
      <c r="Q53" s="13" t="s">
        <v>315</v>
      </c>
      <c r="R53" s="37">
        <f t="shared" si="46"/>
        <v>8025</v>
      </c>
      <c r="S53" s="85">
        <v>7935</v>
      </c>
      <c r="T53" s="85">
        <v>90</v>
      </c>
      <c r="U53" s="7">
        <v>2021</v>
      </c>
      <c r="V53" s="7">
        <v>2</v>
      </c>
      <c r="W53" s="10">
        <f t="shared" si="47"/>
        <v>8025</v>
      </c>
      <c r="X53" s="73">
        <v>7935</v>
      </c>
      <c r="Y53" s="73">
        <v>90</v>
      </c>
      <c r="Z53" s="9"/>
      <c r="AA53" s="10">
        <f t="shared" si="48"/>
        <v>8025</v>
      </c>
      <c r="AB53" s="85">
        <v>7935</v>
      </c>
      <c r="AC53" s="85">
        <v>90</v>
      </c>
      <c r="AD53" s="10">
        <f t="shared" si="49"/>
        <v>7935</v>
      </c>
      <c r="AE53" s="81">
        <v>5885</v>
      </c>
      <c r="AF53" s="81">
        <v>2050</v>
      </c>
      <c r="AG53" s="81"/>
      <c r="AH53" s="81"/>
      <c r="AI53" s="81"/>
      <c r="AJ53" s="81"/>
    </row>
    <row r="54" spans="1:37" ht="56.25" x14ac:dyDescent="0.25">
      <c r="A54" s="5">
        <v>3</v>
      </c>
      <c r="B54" s="5" t="s">
        <v>54</v>
      </c>
      <c r="C54" s="4">
        <v>1</v>
      </c>
      <c r="D54" s="4">
        <v>3</v>
      </c>
      <c r="E54" s="4">
        <v>2</v>
      </c>
      <c r="F54" s="4"/>
      <c r="G54" s="9">
        <f t="shared" si="45"/>
        <v>7770</v>
      </c>
      <c r="H54" s="9"/>
      <c r="I54" s="9"/>
      <c r="J54" s="9"/>
      <c r="K54" s="9">
        <v>7770</v>
      </c>
      <c r="L54" s="7">
        <v>2022</v>
      </c>
      <c r="M54" s="4">
        <v>1</v>
      </c>
      <c r="N54" s="5">
        <v>3</v>
      </c>
      <c r="O54" s="5">
        <v>2</v>
      </c>
      <c r="P54" s="8"/>
      <c r="Q54" s="13" t="s">
        <v>316</v>
      </c>
      <c r="R54" s="37">
        <f t="shared" si="46"/>
        <v>5300</v>
      </c>
      <c r="S54" s="81">
        <v>5300</v>
      </c>
      <c r="T54" s="85">
        <v>0</v>
      </c>
      <c r="U54" s="7">
        <v>2022</v>
      </c>
      <c r="V54" s="7">
        <v>2</v>
      </c>
      <c r="W54" s="10">
        <f t="shared" si="47"/>
        <v>5300</v>
      </c>
      <c r="X54" s="73">
        <v>5300</v>
      </c>
      <c r="Y54" s="73">
        <v>0</v>
      </c>
      <c r="Z54" s="9"/>
      <c r="AA54" s="10">
        <f t="shared" si="48"/>
        <v>5300</v>
      </c>
      <c r="AB54" s="81">
        <v>5300</v>
      </c>
      <c r="AC54" s="85">
        <v>0</v>
      </c>
      <c r="AD54" s="10">
        <f t="shared" si="49"/>
        <v>5300</v>
      </c>
      <c r="AE54" s="81"/>
      <c r="AF54" s="81">
        <v>3500</v>
      </c>
      <c r="AG54" s="81">
        <v>1500</v>
      </c>
      <c r="AH54" s="81">
        <v>300</v>
      </c>
      <c r="AI54" s="81"/>
      <c r="AJ54" s="81"/>
    </row>
    <row r="55" spans="1:37" ht="32.450000000000003" customHeight="1" x14ac:dyDescent="0.25">
      <c r="A55" s="5"/>
      <c r="B55" s="47" t="s">
        <v>37</v>
      </c>
      <c r="C55" s="33">
        <f>SUM(C56:C59)</f>
        <v>4</v>
      </c>
      <c r="D55" s="33">
        <f t="shared" ref="D55:K55" si="50">SUM(D56:D59)</f>
        <v>32</v>
      </c>
      <c r="E55" s="33">
        <f t="shared" si="50"/>
        <v>67</v>
      </c>
      <c r="F55" s="33">
        <f t="shared" si="50"/>
        <v>0</v>
      </c>
      <c r="G55" s="33">
        <f t="shared" si="50"/>
        <v>72448</v>
      </c>
      <c r="H55" s="33">
        <f t="shared" si="50"/>
        <v>27611</v>
      </c>
      <c r="I55" s="33">
        <f t="shared" si="50"/>
        <v>0</v>
      </c>
      <c r="J55" s="33">
        <f t="shared" si="50"/>
        <v>7920</v>
      </c>
      <c r="K55" s="33">
        <f t="shared" si="50"/>
        <v>36917</v>
      </c>
      <c r="L55" s="33"/>
      <c r="M55" s="33">
        <f t="shared" ref="M55" si="51">SUM(M56:M59)</f>
        <v>4</v>
      </c>
      <c r="N55" s="33">
        <f t="shared" ref="N55" si="52">SUM(N56:N59)</f>
        <v>32</v>
      </c>
      <c r="O55" s="33">
        <f t="shared" ref="O55" si="53">SUM(O56:O59)</f>
        <v>67</v>
      </c>
      <c r="P55" s="33"/>
      <c r="Q55" s="33">
        <f t="shared" ref="Q55" si="54">SUM(Q56:Q58)</f>
        <v>0</v>
      </c>
      <c r="R55" s="33">
        <f t="shared" ref="R55" si="55">SUM(R56:R59)</f>
        <v>89187</v>
      </c>
      <c r="S55" s="33">
        <f t="shared" ref="S55" si="56">SUM(S56:S59)</f>
        <v>76985</v>
      </c>
      <c r="T55" s="33">
        <f t="shared" ref="T55" si="57">SUM(T56:T59)</f>
        <v>12202</v>
      </c>
      <c r="U55" s="33"/>
      <c r="V55" s="33"/>
      <c r="W55" s="33">
        <f t="shared" ref="W55" si="58">SUM(W56:W59)</f>
        <v>83790</v>
      </c>
      <c r="X55" s="33">
        <f>SUM(X56:X59)</f>
        <v>73546</v>
      </c>
      <c r="Y55" s="33">
        <f t="shared" ref="Y55" si="59">SUM(Y56:Y59)</f>
        <v>10244</v>
      </c>
      <c r="Z55" s="33">
        <f t="shared" ref="Z55" si="60">SUM(Z56:Z59)</f>
        <v>0</v>
      </c>
      <c r="AA55" s="33">
        <f t="shared" ref="AA55" si="61">SUM(AA56:AA59)</f>
        <v>79991</v>
      </c>
      <c r="AB55" s="33">
        <f t="shared" ref="AB55" si="62">SUM(AB56:AB59)</f>
        <v>69991</v>
      </c>
      <c r="AC55" s="33">
        <f t="shared" ref="AC55" si="63">SUM(AC56:AC59)</f>
        <v>10000</v>
      </c>
      <c r="AD55" s="33">
        <f t="shared" ref="AD55" si="64">SUM(AD56:AD59)</f>
        <v>72991</v>
      </c>
      <c r="AE55" s="33">
        <f t="shared" ref="AE55" si="65">SUM(AE56:AE59)</f>
        <v>4000</v>
      </c>
      <c r="AF55" s="33">
        <f t="shared" ref="AF55" si="66">SUM(AF56:AF59)</f>
        <v>15051</v>
      </c>
      <c r="AG55" s="33">
        <f t="shared" ref="AG55" si="67">SUM(AG56:AG59)</f>
        <v>14803</v>
      </c>
      <c r="AH55" s="33">
        <f t="shared" ref="AH55" si="68">SUM(AH56:AH59)</f>
        <v>1797</v>
      </c>
      <c r="AI55" s="33">
        <f t="shared" ref="AI55" si="69">SUM(AI56:AI59)</f>
        <v>21340</v>
      </c>
      <c r="AJ55" s="33">
        <f t="shared" ref="AJ55" si="70">SUM(AJ56:AJ59)</f>
        <v>16000</v>
      </c>
    </row>
    <row r="56" spans="1:37" ht="32.450000000000003" customHeight="1" x14ac:dyDescent="0.25">
      <c r="A56" s="5">
        <v>1</v>
      </c>
      <c r="B56" s="5" t="s">
        <v>57</v>
      </c>
      <c r="C56" s="4">
        <v>1</v>
      </c>
      <c r="D56" s="4">
        <v>6</v>
      </c>
      <c r="E56" s="4">
        <v>6</v>
      </c>
      <c r="F56" s="4"/>
      <c r="G56" s="9">
        <f t="shared" si="45"/>
        <v>8198</v>
      </c>
      <c r="H56" s="9">
        <v>8198</v>
      </c>
      <c r="I56" s="9"/>
      <c r="J56" s="9"/>
      <c r="K56" s="9"/>
      <c r="L56" s="7">
        <v>2021</v>
      </c>
      <c r="M56" s="4">
        <v>1</v>
      </c>
      <c r="N56" s="5">
        <v>6</v>
      </c>
      <c r="O56" s="5">
        <v>6</v>
      </c>
      <c r="P56" s="8"/>
      <c r="Q56" s="13" t="s">
        <v>317</v>
      </c>
      <c r="R56" s="37">
        <f t="shared" ref="R56:R62" si="71">S56+T56</f>
        <v>10316</v>
      </c>
      <c r="S56" s="37">
        <v>8296</v>
      </c>
      <c r="T56" s="37">
        <v>2020</v>
      </c>
      <c r="U56" s="7">
        <v>2022</v>
      </c>
      <c r="V56" s="7">
        <v>1</v>
      </c>
      <c r="W56" s="10">
        <f t="shared" si="47"/>
        <v>9000</v>
      </c>
      <c r="X56" s="73">
        <v>8100</v>
      </c>
      <c r="Y56" s="73">
        <v>900</v>
      </c>
      <c r="Z56" s="9"/>
      <c r="AA56" s="10">
        <f t="shared" si="48"/>
        <v>9000</v>
      </c>
      <c r="AB56" s="85">
        <v>8100</v>
      </c>
      <c r="AC56" s="85">
        <v>900</v>
      </c>
      <c r="AD56" s="10">
        <f t="shared" si="49"/>
        <v>8100</v>
      </c>
      <c r="AE56" s="81"/>
      <c r="AF56" s="81">
        <v>4500</v>
      </c>
      <c r="AG56" s="81">
        <v>1803</v>
      </c>
      <c r="AH56" s="81">
        <v>1797</v>
      </c>
      <c r="AI56" s="81"/>
      <c r="AJ56" s="81"/>
    </row>
    <row r="57" spans="1:37" ht="51" customHeight="1" x14ac:dyDescent="0.25">
      <c r="A57" s="5">
        <v>2</v>
      </c>
      <c r="B57" s="5" t="s">
        <v>58</v>
      </c>
      <c r="C57" s="4">
        <v>1</v>
      </c>
      <c r="D57" s="4">
        <v>0</v>
      </c>
      <c r="E57" s="4">
        <v>21</v>
      </c>
      <c r="F57" s="4"/>
      <c r="G57" s="9">
        <f t="shared" si="45"/>
        <v>12766</v>
      </c>
      <c r="H57" s="9"/>
      <c r="I57" s="9"/>
      <c r="J57" s="9"/>
      <c r="K57" s="9">
        <v>12766</v>
      </c>
      <c r="L57" s="7">
        <v>2023</v>
      </c>
      <c r="M57" s="4">
        <v>1</v>
      </c>
      <c r="N57" s="5">
        <v>0</v>
      </c>
      <c r="O57" s="5">
        <v>21</v>
      </c>
      <c r="P57" s="8"/>
      <c r="Q57" s="13" t="s">
        <v>318</v>
      </c>
      <c r="R57" s="37">
        <f t="shared" si="71"/>
        <v>10943</v>
      </c>
      <c r="S57" s="37">
        <f>10943-70</f>
        <v>10873</v>
      </c>
      <c r="T57" s="37">
        <v>70</v>
      </c>
      <c r="U57" s="7">
        <v>2021</v>
      </c>
      <c r="V57" s="7">
        <v>1</v>
      </c>
      <c r="W57" s="10">
        <f t="shared" si="47"/>
        <v>8575</v>
      </c>
      <c r="X57" s="73">
        <v>8475</v>
      </c>
      <c r="Y57" s="73">
        <v>100</v>
      </c>
      <c r="Z57" s="9"/>
      <c r="AA57" s="10">
        <f t="shared" si="48"/>
        <v>8575</v>
      </c>
      <c r="AB57" s="85">
        <v>8475</v>
      </c>
      <c r="AC57" s="85">
        <v>100</v>
      </c>
      <c r="AD57" s="10">
        <f t="shared" si="49"/>
        <v>8475</v>
      </c>
      <c r="AE57" s="81">
        <v>4000</v>
      </c>
      <c r="AF57" s="81">
        <v>4475</v>
      </c>
      <c r="AG57" s="81"/>
      <c r="AH57" s="81"/>
      <c r="AI57" s="81"/>
      <c r="AJ57" s="81"/>
    </row>
    <row r="58" spans="1:37" ht="55.15" customHeight="1" x14ac:dyDescent="0.25">
      <c r="A58" s="5">
        <v>3</v>
      </c>
      <c r="B58" s="5" t="s">
        <v>60</v>
      </c>
      <c r="C58" s="4">
        <v>1</v>
      </c>
      <c r="D58" s="4">
        <v>16</v>
      </c>
      <c r="E58" s="4">
        <v>21</v>
      </c>
      <c r="F58" s="4"/>
      <c r="G58" s="9">
        <f t="shared" si="45"/>
        <v>29671</v>
      </c>
      <c r="H58" s="9"/>
      <c r="I58" s="9"/>
      <c r="J58" s="9">
        <v>5520</v>
      </c>
      <c r="K58" s="9">
        <v>24151</v>
      </c>
      <c r="L58" s="7">
        <v>2024</v>
      </c>
      <c r="M58" s="4">
        <v>1</v>
      </c>
      <c r="N58" s="5">
        <v>16</v>
      </c>
      <c r="O58" s="5">
        <v>21</v>
      </c>
      <c r="P58" s="8"/>
      <c r="Q58" s="13" t="s">
        <v>319</v>
      </c>
      <c r="R58" s="37">
        <f t="shared" si="71"/>
        <v>37129</v>
      </c>
      <c r="S58" s="37">
        <f>37129-5868</f>
        <v>31261</v>
      </c>
      <c r="T58" s="37">
        <v>5868</v>
      </c>
      <c r="U58" s="7">
        <v>2022</v>
      </c>
      <c r="V58" s="7">
        <v>2</v>
      </c>
      <c r="W58" s="10">
        <f t="shared" si="47"/>
        <v>35416</v>
      </c>
      <c r="X58" s="73">
        <v>30416</v>
      </c>
      <c r="Y58" s="73">
        <v>5000</v>
      </c>
      <c r="Z58" s="9"/>
      <c r="AA58" s="10">
        <f t="shared" si="48"/>
        <v>35416</v>
      </c>
      <c r="AB58" s="85">
        <v>30416</v>
      </c>
      <c r="AC58" s="85">
        <v>5000</v>
      </c>
      <c r="AD58" s="10">
        <f t="shared" si="49"/>
        <v>30416</v>
      </c>
      <c r="AE58" s="81"/>
      <c r="AF58" s="81">
        <v>6076</v>
      </c>
      <c r="AG58" s="81">
        <v>13000</v>
      </c>
      <c r="AH58" s="81"/>
      <c r="AI58" s="81">
        <f>12140-800</f>
        <v>11340</v>
      </c>
      <c r="AJ58" s="81"/>
    </row>
    <row r="59" spans="1:37" ht="45.6" customHeight="1" x14ac:dyDescent="0.25">
      <c r="A59" s="5">
        <v>4</v>
      </c>
      <c r="B59" s="5" t="s">
        <v>55</v>
      </c>
      <c r="C59" s="9">
        <v>1</v>
      </c>
      <c r="D59" s="9">
        <v>10</v>
      </c>
      <c r="E59" s="9">
        <v>19</v>
      </c>
      <c r="F59" s="9"/>
      <c r="G59" s="9">
        <f>H59+I59+J59+K59</f>
        <v>21813</v>
      </c>
      <c r="H59" s="9">
        <v>19413</v>
      </c>
      <c r="I59" s="9"/>
      <c r="J59" s="9">
        <v>2400</v>
      </c>
      <c r="K59" s="9"/>
      <c r="L59" s="7">
        <v>2021</v>
      </c>
      <c r="M59" s="9">
        <v>1</v>
      </c>
      <c r="N59" s="5">
        <v>10</v>
      </c>
      <c r="O59" s="5">
        <v>19</v>
      </c>
      <c r="P59" s="8"/>
      <c r="Q59" s="8"/>
      <c r="R59" s="37">
        <f>S59+T59</f>
        <v>30799</v>
      </c>
      <c r="S59" s="73">
        <v>26555</v>
      </c>
      <c r="T59" s="73">
        <v>4244</v>
      </c>
      <c r="U59" s="7">
        <v>2024</v>
      </c>
      <c r="V59" s="7">
        <v>2</v>
      </c>
      <c r="W59" s="10">
        <f t="shared" si="47"/>
        <v>30799</v>
      </c>
      <c r="X59" s="73">
        <v>26555</v>
      </c>
      <c r="Y59" s="73">
        <v>4244</v>
      </c>
      <c r="Z59" s="9"/>
      <c r="AA59" s="10">
        <f>AB59+AC59</f>
        <v>27000</v>
      </c>
      <c r="AB59" s="29">
        <v>23000</v>
      </c>
      <c r="AC59" s="29">
        <v>4000</v>
      </c>
      <c r="AD59" s="10">
        <f>AE59+AF59+AG59+AH59+AI59+AJ59</f>
        <v>26000</v>
      </c>
      <c r="AE59" s="10"/>
      <c r="AF59" s="10"/>
      <c r="AG59" s="10"/>
      <c r="AH59" s="10"/>
      <c r="AI59" s="10">
        <v>10000</v>
      </c>
      <c r="AJ59" s="10">
        <v>16000</v>
      </c>
    </row>
    <row r="60" spans="1:37" ht="49.5" customHeight="1" x14ac:dyDescent="0.25">
      <c r="A60" s="5"/>
      <c r="B60" s="47" t="s">
        <v>64</v>
      </c>
      <c r="C60" s="33">
        <f>C61+C62</f>
        <v>2</v>
      </c>
      <c r="D60" s="33">
        <f t="shared" ref="D60:AJ60" si="72">D61+D62</f>
        <v>14</v>
      </c>
      <c r="E60" s="33">
        <f t="shared" si="72"/>
        <v>52</v>
      </c>
      <c r="F60" s="33">
        <f t="shared" si="72"/>
        <v>0</v>
      </c>
      <c r="G60" s="33">
        <f t="shared" si="72"/>
        <v>55657</v>
      </c>
      <c r="H60" s="33">
        <f t="shared" si="72"/>
        <v>34902</v>
      </c>
      <c r="I60" s="33">
        <f t="shared" si="72"/>
        <v>0</v>
      </c>
      <c r="J60" s="33">
        <f t="shared" si="72"/>
        <v>6000</v>
      </c>
      <c r="K60" s="33">
        <f t="shared" si="72"/>
        <v>14755</v>
      </c>
      <c r="L60" s="33"/>
      <c r="M60" s="33">
        <f t="shared" si="72"/>
        <v>2</v>
      </c>
      <c r="N60" s="33">
        <f t="shared" si="72"/>
        <v>14</v>
      </c>
      <c r="O60" s="33">
        <f t="shared" si="72"/>
        <v>59</v>
      </c>
      <c r="P60" s="33"/>
      <c r="Q60" s="33"/>
      <c r="R60" s="33">
        <f t="shared" si="72"/>
        <v>64259</v>
      </c>
      <c r="S60" s="33">
        <f t="shared" si="72"/>
        <v>59635</v>
      </c>
      <c r="T60" s="33">
        <f t="shared" si="72"/>
        <v>4624</v>
      </c>
      <c r="U60" s="33"/>
      <c r="V60" s="33"/>
      <c r="W60" s="33">
        <f t="shared" si="72"/>
        <v>58990</v>
      </c>
      <c r="X60" s="33">
        <f>X61+X62</f>
        <v>57390</v>
      </c>
      <c r="Y60" s="33">
        <f t="shared" si="72"/>
        <v>1600</v>
      </c>
      <c r="Z60" s="33">
        <f t="shared" si="72"/>
        <v>0</v>
      </c>
      <c r="AA60" s="33">
        <f t="shared" si="72"/>
        <v>58990</v>
      </c>
      <c r="AB60" s="33">
        <f t="shared" si="72"/>
        <v>57390</v>
      </c>
      <c r="AC60" s="33">
        <f t="shared" si="72"/>
        <v>1600</v>
      </c>
      <c r="AD60" s="33">
        <f t="shared" si="72"/>
        <v>57390</v>
      </c>
      <c r="AE60" s="33">
        <f t="shared" si="72"/>
        <v>0</v>
      </c>
      <c r="AF60" s="33">
        <f t="shared" si="72"/>
        <v>8889</v>
      </c>
      <c r="AG60" s="33">
        <f t="shared" si="72"/>
        <v>19000</v>
      </c>
      <c r="AH60" s="33">
        <f t="shared" si="72"/>
        <v>11500</v>
      </c>
      <c r="AI60" s="33">
        <f t="shared" si="72"/>
        <v>18001</v>
      </c>
      <c r="AJ60" s="33">
        <f t="shared" si="72"/>
        <v>0</v>
      </c>
    </row>
    <row r="61" spans="1:37" ht="42.6" customHeight="1" x14ac:dyDescent="0.25">
      <c r="A61" s="5">
        <v>1</v>
      </c>
      <c r="B61" s="5" t="s">
        <v>66</v>
      </c>
      <c r="C61" s="4">
        <v>1</v>
      </c>
      <c r="D61" s="4">
        <v>14</v>
      </c>
      <c r="E61" s="4">
        <v>30</v>
      </c>
      <c r="F61" s="4"/>
      <c r="G61" s="9">
        <f t="shared" si="45"/>
        <v>40902</v>
      </c>
      <c r="H61" s="9">
        <v>34902</v>
      </c>
      <c r="I61" s="9"/>
      <c r="J61" s="9">
        <v>6000</v>
      </c>
      <c r="K61" s="9"/>
      <c r="L61" s="7">
        <v>2021</v>
      </c>
      <c r="M61" s="4">
        <v>1</v>
      </c>
      <c r="N61" s="5">
        <v>14</v>
      </c>
      <c r="O61" s="5">
        <v>34</v>
      </c>
      <c r="P61" s="8"/>
      <c r="Q61" s="13" t="s">
        <v>320</v>
      </c>
      <c r="R61" s="37">
        <f t="shared" si="71"/>
        <v>44992</v>
      </c>
      <c r="S61" s="37">
        <f>44992-1379</f>
        <v>43613</v>
      </c>
      <c r="T61" s="37">
        <v>1379</v>
      </c>
      <c r="U61" s="7">
        <v>2022</v>
      </c>
      <c r="V61" s="7">
        <v>2</v>
      </c>
      <c r="W61" s="10">
        <f t="shared" si="47"/>
        <v>42990</v>
      </c>
      <c r="X61" s="73">
        <v>42690</v>
      </c>
      <c r="Y61" s="73">
        <v>300</v>
      </c>
      <c r="Z61" s="9"/>
      <c r="AA61" s="10">
        <f t="shared" si="48"/>
        <v>42990</v>
      </c>
      <c r="AB61" s="85">
        <v>42690</v>
      </c>
      <c r="AC61" s="85">
        <v>300</v>
      </c>
      <c r="AD61" s="10">
        <f t="shared" si="49"/>
        <v>42690</v>
      </c>
      <c r="AE61" s="81"/>
      <c r="AF61" s="81">
        <v>5689</v>
      </c>
      <c r="AG61" s="81">
        <v>13000</v>
      </c>
      <c r="AH61" s="81">
        <v>6000</v>
      </c>
      <c r="AI61" s="81">
        <v>18001</v>
      </c>
      <c r="AJ61" s="81"/>
    </row>
    <row r="62" spans="1:37" ht="56.25" x14ac:dyDescent="0.25">
      <c r="A62" s="4">
        <v>2</v>
      </c>
      <c r="B62" s="5" t="s">
        <v>68</v>
      </c>
      <c r="C62" s="4">
        <v>1</v>
      </c>
      <c r="D62" s="4">
        <v>0</v>
      </c>
      <c r="E62" s="4">
        <v>22</v>
      </c>
      <c r="F62" s="4"/>
      <c r="G62" s="9">
        <f t="shared" si="45"/>
        <v>14755</v>
      </c>
      <c r="H62" s="9"/>
      <c r="I62" s="9"/>
      <c r="J62" s="9"/>
      <c r="K62" s="9">
        <v>14755</v>
      </c>
      <c r="L62" s="7">
        <v>2022</v>
      </c>
      <c r="M62" s="4">
        <v>1</v>
      </c>
      <c r="N62" s="5">
        <v>0</v>
      </c>
      <c r="O62" s="5">
        <v>25</v>
      </c>
      <c r="P62" s="8"/>
      <c r="Q62" s="13" t="s">
        <v>321</v>
      </c>
      <c r="R62" s="37">
        <f t="shared" si="71"/>
        <v>19267</v>
      </c>
      <c r="S62" s="39">
        <v>16022</v>
      </c>
      <c r="T62" s="39">
        <v>3245</v>
      </c>
      <c r="U62" s="7">
        <v>2022</v>
      </c>
      <c r="V62" s="7">
        <v>1</v>
      </c>
      <c r="W62" s="10">
        <f t="shared" si="47"/>
        <v>16000</v>
      </c>
      <c r="X62" s="39">
        <v>14700</v>
      </c>
      <c r="Y62" s="39">
        <v>1300</v>
      </c>
      <c r="Z62" s="9"/>
      <c r="AA62" s="10">
        <f t="shared" si="48"/>
        <v>16000</v>
      </c>
      <c r="AB62" s="85">
        <v>14700</v>
      </c>
      <c r="AC62" s="85">
        <v>1300</v>
      </c>
      <c r="AD62" s="10">
        <f t="shared" si="49"/>
        <v>14700</v>
      </c>
      <c r="AE62" s="81"/>
      <c r="AF62" s="81">
        <v>3200</v>
      </c>
      <c r="AG62" s="81">
        <v>6000</v>
      </c>
      <c r="AH62" s="81">
        <v>5500</v>
      </c>
      <c r="AI62" s="81"/>
      <c r="AJ62" s="81"/>
    </row>
    <row r="63" spans="1:37" ht="30.75" customHeight="1" x14ac:dyDescent="0.25">
      <c r="A63" s="11" t="s">
        <v>69</v>
      </c>
      <c r="B63" s="47" t="s">
        <v>268</v>
      </c>
      <c r="C63" s="49">
        <f t="shared" ref="C63:Z63" si="73">C64+C71+C77</f>
        <v>10</v>
      </c>
      <c r="D63" s="49">
        <f t="shared" si="73"/>
        <v>61</v>
      </c>
      <c r="E63" s="49">
        <f t="shared" si="73"/>
        <v>105</v>
      </c>
      <c r="F63" s="49">
        <f t="shared" si="73"/>
        <v>0</v>
      </c>
      <c r="G63" s="49">
        <f t="shared" si="73"/>
        <v>151174</v>
      </c>
      <c r="H63" s="49">
        <f t="shared" si="73"/>
        <v>89315</v>
      </c>
      <c r="I63" s="49">
        <f t="shared" si="73"/>
        <v>0</v>
      </c>
      <c r="J63" s="49">
        <f t="shared" si="73"/>
        <v>6435</v>
      </c>
      <c r="K63" s="49">
        <f t="shared" si="73"/>
        <v>55424</v>
      </c>
      <c r="L63" s="49">
        <f t="shared" si="73"/>
        <v>10112</v>
      </c>
      <c r="M63" s="49">
        <f t="shared" si="73"/>
        <v>10</v>
      </c>
      <c r="N63" s="49">
        <f t="shared" si="73"/>
        <v>74</v>
      </c>
      <c r="O63" s="49">
        <f t="shared" si="73"/>
        <v>131</v>
      </c>
      <c r="P63" s="49"/>
      <c r="Q63" s="49">
        <f t="shared" si="73"/>
        <v>0</v>
      </c>
      <c r="R63" s="49">
        <f t="shared" si="73"/>
        <v>310600</v>
      </c>
      <c r="S63" s="49">
        <f t="shared" si="73"/>
        <v>279915</v>
      </c>
      <c r="T63" s="49">
        <f t="shared" si="73"/>
        <v>30685</v>
      </c>
      <c r="U63" s="49">
        <f t="shared" si="73"/>
        <v>8087</v>
      </c>
      <c r="V63" s="49">
        <f t="shared" si="73"/>
        <v>8</v>
      </c>
      <c r="W63" s="49">
        <f t="shared" si="73"/>
        <v>286718</v>
      </c>
      <c r="X63" s="49">
        <f t="shared" si="73"/>
        <v>253033</v>
      </c>
      <c r="Y63" s="49">
        <f t="shared" si="73"/>
        <v>33685</v>
      </c>
      <c r="Z63" s="49">
        <f t="shared" si="73"/>
        <v>0</v>
      </c>
      <c r="AA63" s="49">
        <f t="shared" ref="AA63:AJ63" si="74">AA64+AA71+AA77</f>
        <v>277335</v>
      </c>
      <c r="AB63" s="49">
        <f t="shared" si="74"/>
        <v>243650</v>
      </c>
      <c r="AC63" s="49">
        <f t="shared" si="74"/>
        <v>33685</v>
      </c>
      <c r="AD63" s="49">
        <f t="shared" si="74"/>
        <v>198650</v>
      </c>
      <c r="AE63" s="49">
        <f t="shared" si="74"/>
        <v>41000</v>
      </c>
      <c r="AF63" s="49">
        <f t="shared" si="74"/>
        <v>38450</v>
      </c>
      <c r="AG63" s="49">
        <f t="shared" si="74"/>
        <v>10000</v>
      </c>
      <c r="AH63" s="49">
        <f t="shared" si="74"/>
        <v>36000</v>
      </c>
      <c r="AI63" s="49">
        <f t="shared" si="74"/>
        <v>73200</v>
      </c>
      <c r="AJ63" s="49">
        <f t="shared" si="74"/>
        <v>0</v>
      </c>
      <c r="AK63" s="3"/>
    </row>
    <row r="64" spans="1:37" ht="34.5" customHeight="1" x14ac:dyDescent="0.25">
      <c r="A64" s="5"/>
      <c r="B64" s="47" t="s">
        <v>29</v>
      </c>
      <c r="C64" s="33">
        <f>SUM(C65:C70)</f>
        <v>4</v>
      </c>
      <c r="D64" s="33">
        <f t="shared" ref="D64:AC64" si="75">SUM(D65:D70)</f>
        <v>24</v>
      </c>
      <c r="E64" s="33">
        <f t="shared" si="75"/>
        <v>34</v>
      </c>
      <c r="F64" s="33">
        <f t="shared" si="75"/>
        <v>0</v>
      </c>
      <c r="G64" s="33">
        <f t="shared" si="75"/>
        <v>67248</v>
      </c>
      <c r="H64" s="33">
        <f t="shared" si="75"/>
        <v>24678</v>
      </c>
      <c r="I64" s="33">
        <f t="shared" si="75"/>
        <v>0</v>
      </c>
      <c r="J64" s="33">
        <f t="shared" si="75"/>
        <v>2160</v>
      </c>
      <c r="K64" s="33">
        <f t="shared" si="75"/>
        <v>40410</v>
      </c>
      <c r="L64" s="33">
        <f t="shared" si="75"/>
        <v>10112</v>
      </c>
      <c r="M64" s="33">
        <f t="shared" si="75"/>
        <v>4</v>
      </c>
      <c r="N64" s="33">
        <f t="shared" si="75"/>
        <v>33</v>
      </c>
      <c r="O64" s="33">
        <f t="shared" si="75"/>
        <v>54</v>
      </c>
      <c r="P64" s="33">
        <f t="shared" si="75"/>
        <v>0</v>
      </c>
      <c r="Q64" s="33">
        <f t="shared" si="75"/>
        <v>0</v>
      </c>
      <c r="R64" s="33">
        <f t="shared" si="75"/>
        <v>155760</v>
      </c>
      <c r="S64" s="33">
        <f t="shared" si="75"/>
        <v>133260</v>
      </c>
      <c r="T64" s="33">
        <f t="shared" si="75"/>
        <v>22500</v>
      </c>
      <c r="U64" s="33">
        <f t="shared" si="75"/>
        <v>8087</v>
      </c>
      <c r="V64" s="33">
        <f t="shared" si="75"/>
        <v>8</v>
      </c>
      <c r="W64" s="33">
        <f t="shared" si="75"/>
        <v>147383</v>
      </c>
      <c r="X64" s="33">
        <f t="shared" si="75"/>
        <v>124883</v>
      </c>
      <c r="Y64" s="33">
        <f t="shared" si="75"/>
        <v>22500</v>
      </c>
      <c r="Z64" s="33">
        <f t="shared" si="75"/>
        <v>0</v>
      </c>
      <c r="AA64" s="33">
        <f t="shared" si="75"/>
        <v>138000</v>
      </c>
      <c r="AB64" s="33">
        <f t="shared" si="75"/>
        <v>115500</v>
      </c>
      <c r="AC64" s="33">
        <f t="shared" si="75"/>
        <v>22500</v>
      </c>
      <c r="AD64" s="33">
        <f t="shared" ref="AD64" si="76">SUM(AD65:AD69)</f>
        <v>70500</v>
      </c>
      <c r="AE64" s="33">
        <f t="shared" ref="AE64" si="77">SUM(AE65:AE69)</f>
        <v>15500</v>
      </c>
      <c r="AF64" s="33">
        <f t="shared" ref="AF64" si="78">SUM(AF65:AF69)</f>
        <v>11900</v>
      </c>
      <c r="AG64" s="33">
        <f t="shared" ref="AG64" si="79">SUM(AG65:AG69)</f>
        <v>3000</v>
      </c>
      <c r="AH64" s="33">
        <f t="shared" ref="AH64" si="80">SUM(AH65:AH69)</f>
        <v>10000</v>
      </c>
      <c r="AI64" s="33">
        <f t="shared" ref="AI64" si="81">SUM(AI65:AI69)</f>
        <v>30100</v>
      </c>
      <c r="AJ64" s="33">
        <f t="shared" ref="AJ64" si="82">SUM(AJ65:AJ69)</f>
        <v>0</v>
      </c>
    </row>
    <row r="65" spans="1:37" ht="39" customHeight="1" x14ac:dyDescent="0.25">
      <c r="A65" s="22">
        <v>1</v>
      </c>
      <c r="B65" s="26" t="s">
        <v>70</v>
      </c>
      <c r="C65" s="22">
        <v>1</v>
      </c>
      <c r="D65" s="22">
        <v>6</v>
      </c>
      <c r="E65" s="22">
        <v>7</v>
      </c>
      <c r="F65" s="22"/>
      <c r="G65" s="9">
        <f t="shared" ref="G65:G78" si="83">H65+I65+J65+K65</f>
        <v>15463</v>
      </c>
      <c r="H65" s="18">
        <v>15463</v>
      </c>
      <c r="I65" s="18">
        <v>0</v>
      </c>
      <c r="J65" s="18">
        <v>0</v>
      </c>
      <c r="K65" s="18">
        <v>0</v>
      </c>
      <c r="L65" s="6">
        <v>2021</v>
      </c>
      <c r="M65" s="22">
        <v>1</v>
      </c>
      <c r="N65" s="22">
        <v>5</v>
      </c>
      <c r="O65" s="22">
        <v>6</v>
      </c>
      <c r="P65" s="58"/>
      <c r="Q65" s="7" t="s">
        <v>322</v>
      </c>
      <c r="R65" s="37">
        <f t="shared" ref="R65:R78" si="84">S65+T65</f>
        <v>17131</v>
      </c>
      <c r="S65" s="72">
        <v>17131</v>
      </c>
      <c r="T65" s="72"/>
      <c r="U65" s="6">
        <v>2021</v>
      </c>
      <c r="V65" s="6">
        <v>2</v>
      </c>
      <c r="W65" s="10">
        <f t="shared" ref="W65:W78" si="85">X65+Y65+Z65</f>
        <v>14000</v>
      </c>
      <c r="X65" s="18">
        <v>14000</v>
      </c>
      <c r="Y65" s="18">
        <v>0</v>
      </c>
      <c r="Z65" s="18">
        <v>0</v>
      </c>
      <c r="AA65" s="10">
        <f t="shared" ref="AA65:AA78" si="86">AB65+AC65</f>
        <v>14000</v>
      </c>
      <c r="AB65" s="87">
        <v>14000</v>
      </c>
      <c r="AC65" s="85">
        <v>0</v>
      </c>
      <c r="AD65" s="10">
        <f t="shared" ref="AD65:AD78" si="87">AE65+AF65+AG65+AH65+AI65+AJ65</f>
        <v>14000</v>
      </c>
      <c r="AE65" s="85">
        <v>9000</v>
      </c>
      <c r="AF65" s="85">
        <v>5000</v>
      </c>
      <c r="AG65" s="85"/>
      <c r="AH65" s="85"/>
      <c r="AI65" s="85"/>
      <c r="AJ65" s="85"/>
    </row>
    <row r="66" spans="1:37" ht="49.15" customHeight="1" x14ac:dyDescent="0.25">
      <c r="A66" s="22">
        <v>2</v>
      </c>
      <c r="B66" s="26" t="s">
        <v>71</v>
      </c>
      <c r="C66" s="22">
        <v>1</v>
      </c>
      <c r="D66" s="22">
        <v>10</v>
      </c>
      <c r="E66" s="22">
        <v>15</v>
      </c>
      <c r="F66" s="22"/>
      <c r="G66" s="9">
        <f t="shared" si="83"/>
        <v>30198</v>
      </c>
      <c r="H66" s="18"/>
      <c r="I66" s="18">
        <v>0</v>
      </c>
      <c r="J66" s="18">
        <v>2160</v>
      </c>
      <c r="K66" s="18">
        <v>28038</v>
      </c>
      <c r="L66" s="6">
        <v>2024</v>
      </c>
      <c r="M66" s="22">
        <v>1</v>
      </c>
      <c r="N66" s="22">
        <v>14</v>
      </c>
      <c r="O66" s="22">
        <v>18</v>
      </c>
      <c r="P66" s="58"/>
      <c r="Q66" s="59" t="s">
        <v>323</v>
      </c>
      <c r="R66" s="37">
        <f t="shared" si="84"/>
        <v>57178</v>
      </c>
      <c r="S66" s="72">
        <f>57178-4000</f>
        <v>53178</v>
      </c>
      <c r="T66" s="72">
        <v>4000</v>
      </c>
      <c r="U66" s="6">
        <v>2021</v>
      </c>
      <c r="V66" s="6">
        <v>2</v>
      </c>
      <c r="W66" s="10">
        <f t="shared" si="85"/>
        <v>52000</v>
      </c>
      <c r="X66" s="18">
        <v>48000</v>
      </c>
      <c r="Y66" s="18">
        <v>4000</v>
      </c>
      <c r="Z66" s="18">
        <v>0</v>
      </c>
      <c r="AA66" s="10">
        <f t="shared" si="86"/>
        <v>52000</v>
      </c>
      <c r="AB66" s="87">
        <v>48000</v>
      </c>
      <c r="AC66" s="85">
        <v>4000</v>
      </c>
      <c r="AD66" s="10">
        <f t="shared" si="87"/>
        <v>48000</v>
      </c>
      <c r="AE66" s="85"/>
      <c r="AF66" s="85">
        <v>4900</v>
      </c>
      <c r="AG66" s="85">
        <v>3000</v>
      </c>
      <c r="AH66" s="85">
        <v>10000</v>
      </c>
      <c r="AI66" s="81">
        <f>30100</f>
        <v>30100</v>
      </c>
      <c r="AJ66" s="85"/>
    </row>
    <row r="67" spans="1:37" ht="38.25" customHeight="1" x14ac:dyDescent="0.25">
      <c r="A67" s="22">
        <v>3</v>
      </c>
      <c r="B67" s="26" t="s">
        <v>73</v>
      </c>
      <c r="C67" s="22">
        <v>1</v>
      </c>
      <c r="D67" s="22"/>
      <c r="E67" s="22"/>
      <c r="F67" s="22"/>
      <c r="G67" s="9">
        <f t="shared" si="83"/>
        <v>0</v>
      </c>
      <c r="H67" s="18"/>
      <c r="I67" s="18"/>
      <c r="J67" s="18"/>
      <c r="K67" s="18"/>
      <c r="L67" s="6"/>
      <c r="M67" s="22">
        <v>1</v>
      </c>
      <c r="N67" s="22"/>
      <c r="O67" s="22"/>
      <c r="P67" s="13"/>
      <c r="Q67" s="60"/>
      <c r="R67" s="37">
        <f t="shared" si="84"/>
        <v>0</v>
      </c>
      <c r="S67" s="72"/>
      <c r="T67" s="72"/>
      <c r="U67" s="6"/>
      <c r="V67" s="6"/>
      <c r="W67" s="10">
        <f t="shared" si="85"/>
        <v>0</v>
      </c>
      <c r="X67" s="18"/>
      <c r="Y67" s="18"/>
      <c r="Z67" s="18"/>
      <c r="AA67" s="10">
        <f t="shared" si="86"/>
        <v>0</v>
      </c>
      <c r="AB67" s="87">
        <v>0</v>
      </c>
      <c r="AC67" s="85">
        <v>0</v>
      </c>
      <c r="AD67" s="10">
        <f t="shared" si="87"/>
        <v>0</v>
      </c>
      <c r="AE67" s="85"/>
      <c r="AF67" s="85"/>
      <c r="AG67" s="85"/>
      <c r="AH67" s="85"/>
      <c r="AI67" s="85"/>
      <c r="AJ67" s="85"/>
    </row>
    <row r="68" spans="1:37" ht="42.6" customHeight="1" x14ac:dyDescent="0.25">
      <c r="A68" s="22"/>
      <c r="B68" s="26" t="s">
        <v>74</v>
      </c>
      <c r="C68" s="22"/>
      <c r="D68" s="22">
        <v>0</v>
      </c>
      <c r="E68" s="22">
        <v>12</v>
      </c>
      <c r="F68" s="22"/>
      <c r="G68" s="9">
        <f t="shared" si="83"/>
        <v>5127</v>
      </c>
      <c r="H68" s="18">
        <v>5127</v>
      </c>
      <c r="I68" s="18">
        <v>0</v>
      </c>
      <c r="J68" s="18">
        <v>0</v>
      </c>
      <c r="K68" s="18">
        <v>0</v>
      </c>
      <c r="L68" s="6">
        <v>2021</v>
      </c>
      <c r="M68" s="22"/>
      <c r="N68" s="22">
        <v>0</v>
      </c>
      <c r="O68" s="22">
        <v>12</v>
      </c>
      <c r="P68" s="58"/>
      <c r="Q68" s="7" t="s">
        <v>324</v>
      </c>
      <c r="R68" s="37">
        <f t="shared" si="84"/>
        <v>8568</v>
      </c>
      <c r="S68" s="72">
        <v>8568</v>
      </c>
      <c r="T68" s="72"/>
      <c r="U68" s="6">
        <v>2021</v>
      </c>
      <c r="V68" s="6">
        <v>2</v>
      </c>
      <c r="W68" s="10">
        <f t="shared" si="85"/>
        <v>8500</v>
      </c>
      <c r="X68" s="18">
        <v>8500</v>
      </c>
      <c r="Y68" s="18">
        <v>0</v>
      </c>
      <c r="Z68" s="18">
        <v>0</v>
      </c>
      <c r="AA68" s="10">
        <f t="shared" si="86"/>
        <v>8500</v>
      </c>
      <c r="AB68" s="87">
        <v>8500</v>
      </c>
      <c r="AC68" s="85">
        <v>0</v>
      </c>
      <c r="AD68" s="10">
        <f t="shared" si="87"/>
        <v>8500</v>
      </c>
      <c r="AE68" s="85">
        <v>6500</v>
      </c>
      <c r="AF68" s="85">
        <v>2000</v>
      </c>
      <c r="AG68" s="85"/>
      <c r="AH68" s="85"/>
      <c r="AI68" s="85"/>
      <c r="AJ68" s="85"/>
    </row>
    <row r="69" spans="1:37" ht="44.25" customHeight="1" x14ac:dyDescent="0.25">
      <c r="A69" s="22"/>
      <c r="B69" s="26" t="s">
        <v>75</v>
      </c>
      <c r="C69" s="22"/>
      <c r="D69" s="22">
        <v>2</v>
      </c>
      <c r="E69" s="22">
        <v>0</v>
      </c>
      <c r="F69" s="22">
        <v>0</v>
      </c>
      <c r="G69" s="9">
        <f t="shared" si="83"/>
        <v>4088</v>
      </c>
      <c r="H69" s="18">
        <v>4088</v>
      </c>
      <c r="I69" s="18">
        <v>0</v>
      </c>
      <c r="J69" s="18">
        <v>0</v>
      </c>
      <c r="K69" s="18">
        <v>0</v>
      </c>
      <c r="L69" s="6">
        <v>2024</v>
      </c>
      <c r="M69" s="22"/>
      <c r="N69" s="22"/>
      <c r="O69" s="22"/>
      <c r="P69" s="13"/>
      <c r="Q69" s="7"/>
      <c r="R69" s="37">
        <f t="shared" si="84"/>
        <v>0</v>
      </c>
      <c r="S69" s="72"/>
      <c r="T69" s="72"/>
      <c r="U69" s="6">
        <v>0</v>
      </c>
      <c r="V69" s="6"/>
      <c r="W69" s="10">
        <f t="shared" si="85"/>
        <v>0</v>
      </c>
      <c r="X69" s="18">
        <v>0</v>
      </c>
      <c r="Y69" s="18">
        <v>0</v>
      </c>
      <c r="Z69" s="18">
        <v>0</v>
      </c>
      <c r="AA69" s="10">
        <f t="shared" si="86"/>
        <v>0</v>
      </c>
      <c r="AB69" s="87">
        <v>0</v>
      </c>
      <c r="AC69" s="85">
        <v>0</v>
      </c>
      <c r="AD69" s="10">
        <f t="shared" si="87"/>
        <v>0</v>
      </c>
      <c r="AE69" s="85"/>
      <c r="AF69" s="85"/>
      <c r="AG69" s="85"/>
      <c r="AH69" s="85"/>
      <c r="AI69" s="85"/>
      <c r="AJ69" s="85"/>
    </row>
    <row r="70" spans="1:37" ht="44.25" customHeight="1" x14ac:dyDescent="0.25">
      <c r="A70" s="22">
        <v>4</v>
      </c>
      <c r="B70" s="26" t="s">
        <v>72</v>
      </c>
      <c r="C70" s="18">
        <v>1</v>
      </c>
      <c r="D70" s="18">
        <v>6</v>
      </c>
      <c r="E70" s="18">
        <v>0</v>
      </c>
      <c r="F70" s="18"/>
      <c r="G70" s="9">
        <f>H70+I70+J70+K70</f>
        <v>12372</v>
      </c>
      <c r="H70" s="18"/>
      <c r="I70" s="18">
        <v>0</v>
      </c>
      <c r="J70" s="18">
        <v>0</v>
      </c>
      <c r="K70" s="18">
        <v>12372</v>
      </c>
      <c r="L70" s="6">
        <v>2022</v>
      </c>
      <c r="M70" s="18">
        <v>1</v>
      </c>
      <c r="N70" s="22">
        <v>14</v>
      </c>
      <c r="O70" s="22">
        <v>18</v>
      </c>
      <c r="P70" s="13"/>
      <c r="Q70" s="76"/>
      <c r="R70" s="37">
        <f>S70+T70</f>
        <v>72883</v>
      </c>
      <c r="S70" s="73">
        <v>54383</v>
      </c>
      <c r="T70" s="74">
        <v>18500</v>
      </c>
      <c r="U70" s="6">
        <v>2024</v>
      </c>
      <c r="V70" s="6">
        <v>2</v>
      </c>
      <c r="W70" s="10">
        <f>X70+Y70+Z70</f>
        <v>72883</v>
      </c>
      <c r="X70" s="73">
        <v>54383</v>
      </c>
      <c r="Y70" s="74">
        <v>18500</v>
      </c>
      <c r="Z70" s="18"/>
      <c r="AA70" s="18">
        <f>AB70+AC70</f>
        <v>63500</v>
      </c>
      <c r="AB70" s="18">
        <v>45000</v>
      </c>
      <c r="AC70" s="18">
        <v>18500</v>
      </c>
      <c r="AD70" s="10">
        <f>AE70+AF70+AG70</f>
        <v>500</v>
      </c>
      <c r="AE70" s="10"/>
      <c r="AF70" s="29"/>
      <c r="AG70" s="29">
        <v>500</v>
      </c>
      <c r="AH70" s="29"/>
      <c r="AI70" s="10"/>
      <c r="AJ70" s="29"/>
    </row>
    <row r="71" spans="1:37" ht="37.5" customHeight="1" x14ac:dyDescent="0.25">
      <c r="A71" s="4"/>
      <c r="B71" s="47" t="s">
        <v>37</v>
      </c>
      <c r="C71" s="33">
        <f>SUM(C72:C76)</f>
        <v>5</v>
      </c>
      <c r="D71" s="33">
        <f t="shared" ref="D71:AJ71" si="88">SUM(D72:D76)</f>
        <v>21</v>
      </c>
      <c r="E71" s="33">
        <f t="shared" si="88"/>
        <v>47</v>
      </c>
      <c r="F71" s="33">
        <f t="shared" si="88"/>
        <v>0</v>
      </c>
      <c r="G71" s="33">
        <f t="shared" si="88"/>
        <v>50479</v>
      </c>
      <c r="H71" s="33">
        <f t="shared" si="88"/>
        <v>31190</v>
      </c>
      <c r="I71" s="33">
        <f t="shared" si="88"/>
        <v>0</v>
      </c>
      <c r="J71" s="33">
        <f t="shared" si="88"/>
        <v>4275</v>
      </c>
      <c r="K71" s="33">
        <f t="shared" si="88"/>
        <v>15014</v>
      </c>
      <c r="L71" s="33"/>
      <c r="M71" s="33">
        <f t="shared" si="88"/>
        <v>5</v>
      </c>
      <c r="N71" s="33">
        <f t="shared" si="88"/>
        <v>21</v>
      </c>
      <c r="O71" s="33">
        <f t="shared" si="88"/>
        <v>49</v>
      </c>
      <c r="P71" s="33"/>
      <c r="Q71" s="33">
        <f t="shared" si="88"/>
        <v>0</v>
      </c>
      <c r="R71" s="33">
        <f t="shared" si="88"/>
        <v>71821</v>
      </c>
      <c r="S71" s="33">
        <f t="shared" si="88"/>
        <v>71636</v>
      </c>
      <c r="T71" s="33">
        <f t="shared" si="88"/>
        <v>185</v>
      </c>
      <c r="U71" s="33"/>
      <c r="V71" s="33"/>
      <c r="W71" s="33">
        <f t="shared" si="88"/>
        <v>63735</v>
      </c>
      <c r="X71" s="33">
        <f>SUM(X72:X76)</f>
        <v>63550</v>
      </c>
      <c r="Y71" s="33">
        <f t="shared" si="88"/>
        <v>185</v>
      </c>
      <c r="Z71" s="33">
        <f t="shared" si="88"/>
        <v>0</v>
      </c>
      <c r="AA71" s="33">
        <f t="shared" si="88"/>
        <v>63735</v>
      </c>
      <c r="AB71" s="33">
        <f t="shared" si="88"/>
        <v>63550</v>
      </c>
      <c r="AC71" s="33">
        <f t="shared" si="88"/>
        <v>185</v>
      </c>
      <c r="AD71" s="33">
        <f t="shared" si="88"/>
        <v>63550</v>
      </c>
      <c r="AE71" s="33">
        <f t="shared" si="88"/>
        <v>25500</v>
      </c>
      <c r="AF71" s="33">
        <f t="shared" si="88"/>
        <v>20050</v>
      </c>
      <c r="AG71" s="33">
        <f t="shared" si="88"/>
        <v>2000</v>
      </c>
      <c r="AH71" s="33">
        <f t="shared" si="88"/>
        <v>16000</v>
      </c>
      <c r="AI71" s="33">
        <f t="shared" si="88"/>
        <v>0</v>
      </c>
      <c r="AJ71" s="33">
        <f t="shared" si="88"/>
        <v>0</v>
      </c>
    </row>
    <row r="72" spans="1:37" ht="37.15" customHeight="1" x14ac:dyDescent="0.25">
      <c r="A72" s="22">
        <v>1</v>
      </c>
      <c r="B72" s="26" t="s">
        <v>76</v>
      </c>
      <c r="C72" s="22">
        <v>1</v>
      </c>
      <c r="D72" s="22">
        <v>6</v>
      </c>
      <c r="E72" s="22">
        <v>21</v>
      </c>
      <c r="F72" s="22"/>
      <c r="G72" s="9">
        <f t="shared" si="83"/>
        <v>17220</v>
      </c>
      <c r="H72" s="18">
        <v>17220</v>
      </c>
      <c r="I72" s="18">
        <v>0</v>
      </c>
      <c r="J72" s="18">
        <v>0</v>
      </c>
      <c r="K72" s="18">
        <v>0</v>
      </c>
      <c r="L72" s="6">
        <v>2021</v>
      </c>
      <c r="M72" s="22">
        <v>1</v>
      </c>
      <c r="N72" s="22">
        <v>6</v>
      </c>
      <c r="O72" s="22">
        <v>21</v>
      </c>
      <c r="P72" s="58"/>
      <c r="Q72" s="7" t="s">
        <v>325</v>
      </c>
      <c r="R72" s="37">
        <f t="shared" si="84"/>
        <v>25353</v>
      </c>
      <c r="S72" s="72">
        <f>25353-185</f>
        <v>25168</v>
      </c>
      <c r="T72" s="72">
        <v>185</v>
      </c>
      <c r="U72" s="6">
        <v>2021</v>
      </c>
      <c r="V72" s="6">
        <v>2</v>
      </c>
      <c r="W72" s="10">
        <f t="shared" si="85"/>
        <v>21185</v>
      </c>
      <c r="X72" s="18">
        <v>21000</v>
      </c>
      <c r="Y72" s="18">
        <v>185</v>
      </c>
      <c r="Z72" s="18">
        <v>0</v>
      </c>
      <c r="AA72" s="10">
        <f t="shared" si="86"/>
        <v>21185</v>
      </c>
      <c r="AB72" s="87">
        <v>21000</v>
      </c>
      <c r="AC72" s="85">
        <v>185</v>
      </c>
      <c r="AD72" s="10">
        <f t="shared" si="87"/>
        <v>21000</v>
      </c>
      <c r="AE72" s="85">
        <v>11500</v>
      </c>
      <c r="AF72" s="85">
        <v>9500</v>
      </c>
      <c r="AG72" s="85"/>
      <c r="AH72" s="85"/>
      <c r="AI72" s="85"/>
      <c r="AJ72" s="85"/>
    </row>
    <row r="73" spans="1:37" ht="54.75" customHeight="1" x14ac:dyDescent="0.25">
      <c r="A73" s="22">
        <v>2</v>
      </c>
      <c r="B73" s="26" t="s">
        <v>77</v>
      </c>
      <c r="C73" s="22">
        <v>1</v>
      </c>
      <c r="D73" s="22">
        <v>3</v>
      </c>
      <c r="E73" s="22">
        <v>0</v>
      </c>
      <c r="F73" s="22"/>
      <c r="G73" s="9">
        <f t="shared" si="83"/>
        <v>2227</v>
      </c>
      <c r="H73" s="18">
        <v>2227</v>
      </c>
      <c r="I73" s="18">
        <v>0</v>
      </c>
      <c r="J73" s="18">
        <v>0</v>
      </c>
      <c r="K73" s="18">
        <v>0</v>
      </c>
      <c r="L73" s="6">
        <v>2021</v>
      </c>
      <c r="M73" s="22">
        <v>1</v>
      </c>
      <c r="N73" s="22">
        <v>3</v>
      </c>
      <c r="O73" s="22">
        <v>0</v>
      </c>
      <c r="P73" s="58"/>
      <c r="Q73" s="7" t="s">
        <v>326</v>
      </c>
      <c r="R73" s="37">
        <f t="shared" si="84"/>
        <v>5043</v>
      </c>
      <c r="S73" s="72">
        <v>5043</v>
      </c>
      <c r="T73" s="72"/>
      <c r="U73" s="6">
        <v>2021</v>
      </c>
      <c r="V73" s="6">
        <v>2</v>
      </c>
      <c r="W73" s="10">
        <f t="shared" si="85"/>
        <v>4950</v>
      </c>
      <c r="X73" s="18">
        <v>4950</v>
      </c>
      <c r="Y73" s="18">
        <v>0</v>
      </c>
      <c r="Z73" s="18">
        <v>0</v>
      </c>
      <c r="AA73" s="10">
        <f t="shared" si="86"/>
        <v>4950</v>
      </c>
      <c r="AB73" s="87">
        <v>4950</v>
      </c>
      <c r="AC73" s="85">
        <v>0</v>
      </c>
      <c r="AD73" s="10">
        <f t="shared" si="87"/>
        <v>4950</v>
      </c>
      <c r="AE73" s="85">
        <v>4000</v>
      </c>
      <c r="AF73" s="85">
        <v>950</v>
      </c>
      <c r="AG73" s="85"/>
      <c r="AH73" s="85"/>
      <c r="AI73" s="85"/>
      <c r="AJ73" s="85"/>
    </row>
    <row r="74" spans="1:37" ht="34.15" customHeight="1" x14ac:dyDescent="0.25">
      <c r="A74" s="22">
        <v>3</v>
      </c>
      <c r="B74" s="26" t="s">
        <v>78</v>
      </c>
      <c r="C74" s="22">
        <v>1</v>
      </c>
      <c r="D74" s="22">
        <v>0</v>
      </c>
      <c r="E74" s="22">
        <v>10</v>
      </c>
      <c r="F74" s="22"/>
      <c r="G74" s="9">
        <f t="shared" si="83"/>
        <v>5995</v>
      </c>
      <c r="H74" s="18">
        <v>5995</v>
      </c>
      <c r="I74" s="18">
        <v>0</v>
      </c>
      <c r="J74" s="18">
        <v>0</v>
      </c>
      <c r="K74" s="18">
        <v>0</v>
      </c>
      <c r="L74" s="6">
        <v>2021</v>
      </c>
      <c r="M74" s="22">
        <v>1</v>
      </c>
      <c r="N74" s="22">
        <v>0</v>
      </c>
      <c r="O74" s="22">
        <v>11</v>
      </c>
      <c r="P74" s="58"/>
      <c r="Q74" s="7" t="s">
        <v>327</v>
      </c>
      <c r="R74" s="37">
        <f t="shared" si="84"/>
        <v>7506</v>
      </c>
      <c r="S74" s="72">
        <v>7506</v>
      </c>
      <c r="T74" s="72"/>
      <c r="U74" s="6">
        <v>2021</v>
      </c>
      <c r="V74" s="6">
        <v>2</v>
      </c>
      <c r="W74" s="10">
        <f t="shared" si="85"/>
        <v>7100</v>
      </c>
      <c r="X74" s="18">
        <v>7100</v>
      </c>
      <c r="Y74" s="18">
        <v>0</v>
      </c>
      <c r="Z74" s="18">
        <v>0</v>
      </c>
      <c r="AA74" s="10">
        <f t="shared" si="86"/>
        <v>7100</v>
      </c>
      <c r="AB74" s="87">
        <v>7100</v>
      </c>
      <c r="AC74" s="85">
        <v>0</v>
      </c>
      <c r="AD74" s="10">
        <f t="shared" si="87"/>
        <v>7100</v>
      </c>
      <c r="AE74" s="85">
        <v>5000</v>
      </c>
      <c r="AF74" s="85">
        <v>2100</v>
      </c>
      <c r="AG74" s="85"/>
      <c r="AH74" s="85"/>
      <c r="AI74" s="85"/>
      <c r="AJ74" s="85"/>
    </row>
    <row r="75" spans="1:37" ht="45" customHeight="1" x14ac:dyDescent="0.25">
      <c r="A75" s="22">
        <v>4</v>
      </c>
      <c r="B75" s="26" t="s">
        <v>79</v>
      </c>
      <c r="C75" s="22">
        <v>1</v>
      </c>
      <c r="D75" s="22">
        <v>0</v>
      </c>
      <c r="E75" s="22">
        <v>7</v>
      </c>
      <c r="F75" s="22"/>
      <c r="G75" s="9">
        <f t="shared" si="83"/>
        <v>5748</v>
      </c>
      <c r="H75" s="18">
        <v>5748</v>
      </c>
      <c r="I75" s="18">
        <v>0</v>
      </c>
      <c r="J75" s="18">
        <v>0</v>
      </c>
      <c r="K75" s="18">
        <v>0</v>
      </c>
      <c r="L75" s="6">
        <v>2021</v>
      </c>
      <c r="M75" s="22">
        <v>1</v>
      </c>
      <c r="N75" s="22">
        <v>0</v>
      </c>
      <c r="O75" s="22">
        <v>8</v>
      </c>
      <c r="P75" s="58"/>
      <c r="Q75" s="7" t="s">
        <v>328</v>
      </c>
      <c r="R75" s="37">
        <f t="shared" si="84"/>
        <v>7937</v>
      </c>
      <c r="S75" s="72">
        <v>7937</v>
      </c>
      <c r="T75" s="72"/>
      <c r="U75" s="6">
        <v>2021</v>
      </c>
      <c r="V75" s="6">
        <v>2</v>
      </c>
      <c r="W75" s="10">
        <f t="shared" si="85"/>
        <v>7500</v>
      </c>
      <c r="X75" s="18">
        <v>7500</v>
      </c>
      <c r="Y75" s="18">
        <v>0</v>
      </c>
      <c r="Z75" s="18">
        <v>0</v>
      </c>
      <c r="AA75" s="10">
        <f t="shared" si="86"/>
        <v>7500</v>
      </c>
      <c r="AB75" s="87">
        <v>7500</v>
      </c>
      <c r="AC75" s="85">
        <v>0</v>
      </c>
      <c r="AD75" s="10">
        <f t="shared" si="87"/>
        <v>7500</v>
      </c>
      <c r="AE75" s="85">
        <v>5000</v>
      </c>
      <c r="AF75" s="85">
        <v>2500</v>
      </c>
      <c r="AG75" s="85"/>
      <c r="AH75" s="85"/>
      <c r="AI75" s="85"/>
      <c r="AJ75" s="85"/>
    </row>
    <row r="76" spans="1:37" ht="45.6" customHeight="1" x14ac:dyDescent="0.25">
      <c r="A76" s="22">
        <v>5</v>
      </c>
      <c r="B76" s="26" t="s">
        <v>80</v>
      </c>
      <c r="C76" s="22">
        <v>1</v>
      </c>
      <c r="D76" s="22">
        <v>12</v>
      </c>
      <c r="E76" s="22">
        <v>9</v>
      </c>
      <c r="F76" s="22"/>
      <c r="G76" s="9">
        <f t="shared" si="83"/>
        <v>19289</v>
      </c>
      <c r="H76" s="18"/>
      <c r="I76" s="18">
        <v>0</v>
      </c>
      <c r="J76" s="18">
        <v>4275</v>
      </c>
      <c r="K76" s="18">
        <v>15014</v>
      </c>
      <c r="L76" s="6">
        <v>2024</v>
      </c>
      <c r="M76" s="22">
        <v>1</v>
      </c>
      <c r="N76" s="22">
        <v>12</v>
      </c>
      <c r="O76" s="22">
        <v>9</v>
      </c>
      <c r="P76" s="58"/>
      <c r="Q76" s="7" t="s">
        <v>329</v>
      </c>
      <c r="R76" s="37">
        <f t="shared" si="84"/>
        <v>25982</v>
      </c>
      <c r="S76" s="72">
        <v>25982</v>
      </c>
      <c r="T76" s="72"/>
      <c r="U76" s="6">
        <v>2022</v>
      </c>
      <c r="V76" s="6">
        <v>2</v>
      </c>
      <c r="W76" s="10">
        <f t="shared" si="85"/>
        <v>23000</v>
      </c>
      <c r="X76" s="18">
        <v>23000</v>
      </c>
      <c r="Y76" s="18">
        <v>0</v>
      </c>
      <c r="Z76" s="18">
        <v>0</v>
      </c>
      <c r="AA76" s="10">
        <f t="shared" si="86"/>
        <v>23000</v>
      </c>
      <c r="AB76" s="87">
        <v>23000</v>
      </c>
      <c r="AC76" s="85">
        <v>0</v>
      </c>
      <c r="AD76" s="10">
        <f t="shared" si="87"/>
        <v>23000</v>
      </c>
      <c r="AE76" s="85"/>
      <c r="AF76" s="85">
        <v>5000</v>
      </c>
      <c r="AG76" s="85">
        <v>2000</v>
      </c>
      <c r="AH76" s="85">
        <v>16000</v>
      </c>
      <c r="AI76" s="85"/>
      <c r="AJ76" s="85"/>
    </row>
    <row r="77" spans="1:37" ht="39.75" customHeight="1" x14ac:dyDescent="0.25">
      <c r="A77" s="4"/>
      <c r="B77" s="47" t="s">
        <v>64</v>
      </c>
      <c r="C77" s="33">
        <f>C78</f>
        <v>1</v>
      </c>
      <c r="D77" s="33">
        <f t="shared" ref="D77:AJ77" si="89">D78</f>
        <v>16</v>
      </c>
      <c r="E77" s="33">
        <f t="shared" si="89"/>
        <v>24</v>
      </c>
      <c r="F77" s="33">
        <f t="shared" si="89"/>
        <v>0</v>
      </c>
      <c r="G77" s="33">
        <f t="shared" si="89"/>
        <v>33447</v>
      </c>
      <c r="H77" s="33">
        <f t="shared" si="89"/>
        <v>33447</v>
      </c>
      <c r="I77" s="33">
        <f t="shared" si="89"/>
        <v>0</v>
      </c>
      <c r="J77" s="33">
        <f t="shared" si="89"/>
        <v>0</v>
      </c>
      <c r="K77" s="33">
        <f t="shared" si="89"/>
        <v>0</v>
      </c>
      <c r="L77" s="53"/>
      <c r="M77" s="33">
        <f t="shared" si="89"/>
        <v>1</v>
      </c>
      <c r="N77" s="33">
        <f t="shared" si="89"/>
        <v>20</v>
      </c>
      <c r="O77" s="33">
        <f t="shared" si="89"/>
        <v>28</v>
      </c>
      <c r="P77" s="21"/>
      <c r="Q77" s="20"/>
      <c r="R77" s="33">
        <f t="shared" si="89"/>
        <v>83019</v>
      </c>
      <c r="S77" s="33">
        <f t="shared" si="89"/>
        <v>75019</v>
      </c>
      <c r="T77" s="33">
        <f t="shared" si="89"/>
        <v>8000</v>
      </c>
      <c r="U77" s="20"/>
      <c r="V77" s="53"/>
      <c r="W77" s="53">
        <f t="shared" si="89"/>
        <v>75600</v>
      </c>
      <c r="X77" s="53">
        <f>X78</f>
        <v>64600</v>
      </c>
      <c r="Y77" s="53">
        <f t="shared" si="89"/>
        <v>11000</v>
      </c>
      <c r="Z77" s="53">
        <f t="shared" si="89"/>
        <v>0</v>
      </c>
      <c r="AA77" s="53">
        <f t="shared" si="89"/>
        <v>75600</v>
      </c>
      <c r="AB77" s="53">
        <f t="shared" si="89"/>
        <v>64600</v>
      </c>
      <c r="AC77" s="53">
        <f t="shared" si="89"/>
        <v>11000</v>
      </c>
      <c r="AD77" s="53">
        <f t="shared" si="89"/>
        <v>64600</v>
      </c>
      <c r="AE77" s="53">
        <f t="shared" si="89"/>
        <v>0</v>
      </c>
      <c r="AF77" s="53">
        <f t="shared" si="89"/>
        <v>6500</v>
      </c>
      <c r="AG77" s="53">
        <f t="shared" si="89"/>
        <v>5000</v>
      </c>
      <c r="AH77" s="53">
        <f t="shared" si="89"/>
        <v>10000</v>
      </c>
      <c r="AI77" s="53">
        <f t="shared" si="89"/>
        <v>43100</v>
      </c>
      <c r="AJ77" s="53">
        <f t="shared" si="89"/>
        <v>0</v>
      </c>
    </row>
    <row r="78" spans="1:37" ht="45.6" customHeight="1" x14ac:dyDescent="0.25">
      <c r="A78" s="22">
        <v>1</v>
      </c>
      <c r="B78" s="26" t="s">
        <v>81</v>
      </c>
      <c r="C78" s="22">
        <v>1</v>
      </c>
      <c r="D78" s="22">
        <v>16</v>
      </c>
      <c r="E78" s="22">
        <v>24</v>
      </c>
      <c r="F78" s="22"/>
      <c r="G78" s="9">
        <f t="shared" si="83"/>
        <v>33447</v>
      </c>
      <c r="H78" s="18">
        <v>33447</v>
      </c>
      <c r="I78" s="18"/>
      <c r="J78" s="18">
        <v>0</v>
      </c>
      <c r="K78" s="18">
        <v>0</v>
      </c>
      <c r="L78" s="6">
        <v>2022</v>
      </c>
      <c r="M78" s="22">
        <v>1</v>
      </c>
      <c r="N78" s="22">
        <v>20</v>
      </c>
      <c r="O78" s="22">
        <v>28</v>
      </c>
      <c r="P78" s="58"/>
      <c r="Q78" s="59" t="s">
        <v>330</v>
      </c>
      <c r="R78" s="37">
        <f t="shared" si="84"/>
        <v>83019</v>
      </c>
      <c r="S78" s="72">
        <f>83019-8000</f>
        <v>75019</v>
      </c>
      <c r="T78" s="72">
        <v>8000</v>
      </c>
      <c r="U78" s="6">
        <v>2021</v>
      </c>
      <c r="V78" s="6">
        <v>2</v>
      </c>
      <c r="W78" s="10">
        <f t="shared" si="85"/>
        <v>75600</v>
      </c>
      <c r="X78" s="18">
        <v>64600</v>
      </c>
      <c r="Y78" s="18">
        <v>11000</v>
      </c>
      <c r="Z78" s="18">
        <v>0</v>
      </c>
      <c r="AA78" s="10">
        <f t="shared" si="86"/>
        <v>75600</v>
      </c>
      <c r="AB78" s="18">
        <v>64600</v>
      </c>
      <c r="AC78" s="18">
        <v>11000</v>
      </c>
      <c r="AD78" s="10">
        <f t="shared" si="87"/>
        <v>64600</v>
      </c>
      <c r="AE78" s="29"/>
      <c r="AF78" s="29">
        <v>6500</v>
      </c>
      <c r="AG78" s="29">
        <v>5000</v>
      </c>
      <c r="AH78" s="29">
        <v>10000</v>
      </c>
      <c r="AI78" s="29">
        <v>43100</v>
      </c>
      <c r="AJ78" s="29"/>
    </row>
    <row r="79" spans="1:37" ht="28.5" customHeight="1" x14ac:dyDescent="0.25">
      <c r="A79" s="11" t="s">
        <v>82</v>
      </c>
      <c r="B79" s="47" t="s">
        <v>83</v>
      </c>
      <c r="C79" s="61">
        <f t="shared" ref="C79:Z79" si="90">C80+C85+C94</f>
        <v>15</v>
      </c>
      <c r="D79" s="61">
        <f t="shared" si="90"/>
        <v>94</v>
      </c>
      <c r="E79" s="61">
        <f t="shared" si="90"/>
        <v>253</v>
      </c>
      <c r="F79" s="61">
        <f t="shared" si="90"/>
        <v>0</v>
      </c>
      <c r="G79" s="61">
        <f t="shared" si="90"/>
        <v>296782</v>
      </c>
      <c r="H79" s="61">
        <f t="shared" si="90"/>
        <v>190021</v>
      </c>
      <c r="I79" s="61">
        <f t="shared" si="90"/>
        <v>0</v>
      </c>
      <c r="J79" s="61">
        <f t="shared" si="90"/>
        <v>10817</v>
      </c>
      <c r="K79" s="61">
        <f t="shared" si="90"/>
        <v>95944</v>
      </c>
      <c r="L79" s="61">
        <f t="shared" si="90"/>
        <v>0</v>
      </c>
      <c r="M79" s="61">
        <f t="shared" si="90"/>
        <v>15</v>
      </c>
      <c r="N79" s="61">
        <f t="shared" si="90"/>
        <v>94</v>
      </c>
      <c r="O79" s="61">
        <f t="shared" si="90"/>
        <v>237</v>
      </c>
      <c r="P79" s="61"/>
      <c r="Q79" s="61">
        <f t="shared" si="90"/>
        <v>0</v>
      </c>
      <c r="R79" s="61">
        <f t="shared" si="90"/>
        <v>360724</v>
      </c>
      <c r="S79" s="61">
        <f t="shared" si="90"/>
        <v>320448</v>
      </c>
      <c r="T79" s="61">
        <f t="shared" si="90"/>
        <v>40276</v>
      </c>
      <c r="U79" s="61">
        <f t="shared" si="90"/>
        <v>0</v>
      </c>
      <c r="V79" s="61">
        <f t="shared" si="90"/>
        <v>0</v>
      </c>
      <c r="W79" s="61">
        <f t="shared" si="90"/>
        <v>309778</v>
      </c>
      <c r="X79" s="61">
        <f t="shared" si="90"/>
        <v>256724</v>
      </c>
      <c r="Y79" s="61">
        <f t="shared" si="90"/>
        <v>53054</v>
      </c>
      <c r="Z79" s="61">
        <f t="shared" si="90"/>
        <v>0</v>
      </c>
      <c r="AA79" s="61">
        <f t="shared" ref="AA79:AJ79" si="91">AA80+AA85+AA94</f>
        <v>299912.47192000004</v>
      </c>
      <c r="AB79" s="61">
        <f t="shared" si="91"/>
        <v>246858</v>
      </c>
      <c r="AC79" s="61">
        <f t="shared" si="91"/>
        <v>53054.471920000011</v>
      </c>
      <c r="AD79" s="61">
        <f t="shared" si="91"/>
        <v>256724</v>
      </c>
      <c r="AE79" s="61">
        <f t="shared" si="91"/>
        <v>37800</v>
      </c>
      <c r="AF79" s="61">
        <f t="shared" si="91"/>
        <v>40628</v>
      </c>
      <c r="AG79" s="61">
        <f t="shared" si="91"/>
        <v>43379</v>
      </c>
      <c r="AH79" s="61">
        <f t="shared" si="91"/>
        <v>0</v>
      </c>
      <c r="AI79" s="61">
        <f t="shared" si="91"/>
        <v>81335</v>
      </c>
      <c r="AJ79" s="61">
        <f t="shared" si="91"/>
        <v>53582</v>
      </c>
      <c r="AK79" s="3"/>
    </row>
    <row r="80" spans="1:37" ht="30" customHeight="1" x14ac:dyDescent="0.25">
      <c r="A80" s="5"/>
      <c r="B80" s="47" t="s">
        <v>29</v>
      </c>
      <c r="C80" s="56">
        <f>SUM(C81:C84)</f>
        <v>4</v>
      </c>
      <c r="D80" s="56">
        <f t="shared" ref="D80:AJ80" si="92">SUM(D81:D84)</f>
        <v>39</v>
      </c>
      <c r="E80" s="56">
        <f t="shared" si="92"/>
        <v>57</v>
      </c>
      <c r="F80" s="56">
        <f t="shared" si="92"/>
        <v>0</v>
      </c>
      <c r="G80" s="56">
        <f t="shared" si="92"/>
        <v>118645</v>
      </c>
      <c r="H80" s="56">
        <f t="shared" si="92"/>
        <v>65655</v>
      </c>
      <c r="I80" s="56">
        <f t="shared" si="92"/>
        <v>0</v>
      </c>
      <c r="J80" s="56">
        <f t="shared" si="92"/>
        <v>9197</v>
      </c>
      <c r="K80" s="56">
        <f t="shared" si="92"/>
        <v>43793</v>
      </c>
      <c r="L80" s="56"/>
      <c r="M80" s="56">
        <f t="shared" si="92"/>
        <v>4</v>
      </c>
      <c r="N80" s="56">
        <f t="shared" si="92"/>
        <v>39</v>
      </c>
      <c r="O80" s="56">
        <f t="shared" si="92"/>
        <v>57</v>
      </c>
      <c r="P80" s="56"/>
      <c r="Q80" s="56">
        <f t="shared" si="92"/>
        <v>0</v>
      </c>
      <c r="R80" s="56">
        <f t="shared" si="92"/>
        <v>131627</v>
      </c>
      <c r="S80" s="56">
        <f t="shared" si="92"/>
        <v>113097</v>
      </c>
      <c r="T80" s="56">
        <f t="shared" si="92"/>
        <v>18530</v>
      </c>
      <c r="U80" s="56"/>
      <c r="V80" s="56"/>
      <c r="W80" s="56">
        <f t="shared" si="92"/>
        <v>131341</v>
      </c>
      <c r="X80" s="56">
        <f>SUM(X81:X84)</f>
        <v>97766</v>
      </c>
      <c r="Y80" s="56">
        <f t="shared" si="92"/>
        <v>33575</v>
      </c>
      <c r="Z80" s="56">
        <f t="shared" si="92"/>
        <v>0</v>
      </c>
      <c r="AA80" s="56">
        <f t="shared" si="92"/>
        <v>125375.63492000001</v>
      </c>
      <c r="AB80" s="56">
        <f t="shared" si="92"/>
        <v>91800</v>
      </c>
      <c r="AC80" s="56">
        <f t="shared" si="92"/>
        <v>33575.634920000011</v>
      </c>
      <c r="AD80" s="56">
        <f t="shared" si="92"/>
        <v>97766</v>
      </c>
      <c r="AE80" s="56">
        <f t="shared" si="92"/>
        <v>0</v>
      </c>
      <c r="AF80" s="56">
        <f t="shared" si="92"/>
        <v>5850</v>
      </c>
      <c r="AG80" s="56">
        <f t="shared" si="92"/>
        <v>19000</v>
      </c>
      <c r="AH80" s="56">
        <f t="shared" si="92"/>
        <v>0</v>
      </c>
      <c r="AI80" s="56">
        <f t="shared" si="92"/>
        <v>48950</v>
      </c>
      <c r="AJ80" s="56">
        <f t="shared" si="92"/>
        <v>23966</v>
      </c>
    </row>
    <row r="81" spans="1:38" ht="37.9" customHeight="1" x14ac:dyDescent="0.25">
      <c r="A81" s="5">
        <v>1</v>
      </c>
      <c r="B81" s="26" t="s">
        <v>84</v>
      </c>
      <c r="C81" s="22">
        <v>1</v>
      </c>
      <c r="D81" s="22">
        <v>20</v>
      </c>
      <c r="E81" s="22">
        <v>18</v>
      </c>
      <c r="F81" s="22"/>
      <c r="G81" s="9">
        <f t="shared" ref="G81:G92" si="93">H81+I81+J81+K81</f>
        <v>54213</v>
      </c>
      <c r="H81" s="18">
        <v>50656</v>
      </c>
      <c r="I81" s="18"/>
      <c r="J81" s="18">
        <v>3557</v>
      </c>
      <c r="K81" s="18"/>
      <c r="L81" s="6">
        <v>2022</v>
      </c>
      <c r="M81" s="22">
        <v>1</v>
      </c>
      <c r="N81" s="22">
        <v>20</v>
      </c>
      <c r="O81" s="22">
        <v>18</v>
      </c>
      <c r="P81" s="13"/>
      <c r="Q81" s="13" t="s">
        <v>331</v>
      </c>
      <c r="R81" s="37">
        <f t="shared" ref="R81:R97" si="94">S81+T81</f>
        <v>52305</v>
      </c>
      <c r="S81" s="30">
        <f>52305-500</f>
        <v>51805</v>
      </c>
      <c r="T81" s="30">
        <v>500</v>
      </c>
      <c r="U81" s="6">
        <v>2022</v>
      </c>
      <c r="V81" s="6">
        <v>2</v>
      </c>
      <c r="W81" s="10">
        <f t="shared" ref="W81:W97" si="95">X81+Y81+Z81</f>
        <v>52044</v>
      </c>
      <c r="X81" s="18">
        <v>39000</v>
      </c>
      <c r="Y81" s="18">
        <v>13044</v>
      </c>
      <c r="Z81" s="18"/>
      <c r="AA81" s="10">
        <f t="shared" ref="AA81:AA97" si="96">AB81+AC81</f>
        <v>52044.474920000008</v>
      </c>
      <c r="AB81" s="87">
        <v>39000</v>
      </c>
      <c r="AC81" s="85">
        <v>13044.474920000008</v>
      </c>
      <c r="AD81" s="10">
        <f t="shared" ref="AD81:AD97" si="97">AE81+AF81+AG81+AH81+AI81+AJ81</f>
        <v>39000</v>
      </c>
      <c r="AE81" s="84"/>
      <c r="AF81" s="87">
        <v>5000</v>
      </c>
      <c r="AG81" s="87">
        <v>15000</v>
      </c>
      <c r="AH81" s="87"/>
      <c r="AI81" s="81">
        <v>19000</v>
      </c>
      <c r="AJ81" s="81"/>
    </row>
    <row r="82" spans="1:38" ht="42" customHeight="1" x14ac:dyDescent="0.25">
      <c r="A82" s="5">
        <v>2</v>
      </c>
      <c r="B82" s="26" t="s">
        <v>86</v>
      </c>
      <c r="C82" s="22">
        <v>1</v>
      </c>
      <c r="D82" s="22">
        <v>6</v>
      </c>
      <c r="E82" s="22">
        <v>15</v>
      </c>
      <c r="F82" s="22"/>
      <c r="G82" s="9">
        <f t="shared" si="93"/>
        <v>21386</v>
      </c>
      <c r="H82" s="18"/>
      <c r="I82" s="18"/>
      <c r="J82" s="18">
        <v>1560</v>
      </c>
      <c r="K82" s="18">
        <v>19826</v>
      </c>
      <c r="L82" s="6">
        <v>2023</v>
      </c>
      <c r="M82" s="22">
        <v>1</v>
      </c>
      <c r="N82" s="22">
        <v>6</v>
      </c>
      <c r="O82" s="22">
        <v>15</v>
      </c>
      <c r="P82" s="13"/>
      <c r="Q82" s="13" t="s">
        <v>332</v>
      </c>
      <c r="R82" s="37">
        <f t="shared" si="94"/>
        <v>28944</v>
      </c>
      <c r="S82" s="30">
        <f>28944-6618</f>
        <v>22326</v>
      </c>
      <c r="T82" s="30">
        <v>6618</v>
      </c>
      <c r="U82" s="6">
        <v>2022</v>
      </c>
      <c r="V82" s="6">
        <v>2</v>
      </c>
      <c r="W82" s="10">
        <f t="shared" si="95"/>
        <v>28919</v>
      </c>
      <c r="X82" s="18">
        <v>19800</v>
      </c>
      <c r="Y82" s="18">
        <v>9119</v>
      </c>
      <c r="Z82" s="18"/>
      <c r="AA82" s="10">
        <f t="shared" si="96"/>
        <v>28919</v>
      </c>
      <c r="AB82" s="87">
        <v>19800</v>
      </c>
      <c r="AC82" s="85">
        <v>9119</v>
      </c>
      <c r="AD82" s="10">
        <f t="shared" si="97"/>
        <v>19800</v>
      </c>
      <c r="AE82" s="84"/>
      <c r="AF82" s="87">
        <v>850</v>
      </c>
      <c r="AG82" s="87">
        <v>4000</v>
      </c>
      <c r="AH82" s="87"/>
      <c r="AI82" s="81">
        <v>14950</v>
      </c>
      <c r="AJ82" s="81"/>
    </row>
    <row r="83" spans="1:38" ht="42.6" customHeight="1" x14ac:dyDescent="0.25">
      <c r="A83" s="5">
        <v>3</v>
      </c>
      <c r="B83" s="26" t="s">
        <v>457</v>
      </c>
      <c r="C83" s="18">
        <v>1</v>
      </c>
      <c r="D83" s="18">
        <v>8</v>
      </c>
      <c r="E83" s="18">
        <v>15</v>
      </c>
      <c r="F83" s="18"/>
      <c r="G83" s="9">
        <f t="shared" si="93"/>
        <v>26847</v>
      </c>
      <c r="H83" s="18"/>
      <c r="I83" s="18"/>
      <c r="J83" s="18">
        <v>2880</v>
      </c>
      <c r="K83" s="18">
        <v>23967</v>
      </c>
      <c r="L83" s="6">
        <v>2023</v>
      </c>
      <c r="M83" s="18">
        <v>1</v>
      </c>
      <c r="N83" s="63">
        <v>8</v>
      </c>
      <c r="O83" s="63">
        <v>15</v>
      </c>
      <c r="P83" s="13"/>
      <c r="Q83" s="13"/>
      <c r="R83" s="37">
        <f t="shared" si="94"/>
        <v>27068</v>
      </c>
      <c r="S83" s="18">
        <v>23967</v>
      </c>
      <c r="T83" s="18">
        <v>3101</v>
      </c>
      <c r="U83" s="6">
        <v>2023</v>
      </c>
      <c r="V83" s="6">
        <v>2</v>
      </c>
      <c r="W83" s="10">
        <f t="shared" si="95"/>
        <v>27068</v>
      </c>
      <c r="X83" s="18">
        <v>23967</v>
      </c>
      <c r="Y83" s="18">
        <v>3101</v>
      </c>
      <c r="Z83" s="18"/>
      <c r="AA83" s="10">
        <f t="shared" si="96"/>
        <v>23101.15</v>
      </c>
      <c r="AB83" s="87">
        <v>20000</v>
      </c>
      <c r="AC83" s="85">
        <v>3101.15</v>
      </c>
      <c r="AD83" s="10">
        <f t="shared" si="97"/>
        <v>23967</v>
      </c>
      <c r="AE83" s="84"/>
      <c r="AF83" s="84"/>
      <c r="AG83" s="87"/>
      <c r="AH83" s="87"/>
      <c r="AI83" s="81">
        <v>10000</v>
      </c>
      <c r="AJ83" s="81">
        <v>13967</v>
      </c>
    </row>
    <row r="84" spans="1:38" ht="45" customHeight="1" x14ac:dyDescent="0.25">
      <c r="A84" s="5">
        <v>4</v>
      </c>
      <c r="B84" s="26" t="s">
        <v>85</v>
      </c>
      <c r="C84" s="18">
        <v>1</v>
      </c>
      <c r="D84" s="18">
        <v>5</v>
      </c>
      <c r="E84" s="18">
        <v>9</v>
      </c>
      <c r="F84" s="18"/>
      <c r="G84" s="9">
        <f>H84+I84+J84+K84</f>
        <v>16199</v>
      </c>
      <c r="H84" s="18">
        <v>14999</v>
      </c>
      <c r="I84" s="18"/>
      <c r="J84" s="18">
        <v>1200</v>
      </c>
      <c r="K84" s="18"/>
      <c r="L84" s="6">
        <v>2023</v>
      </c>
      <c r="M84" s="18">
        <v>1</v>
      </c>
      <c r="N84" s="63">
        <v>5</v>
      </c>
      <c r="O84" s="63">
        <v>9</v>
      </c>
      <c r="P84" s="13"/>
      <c r="Q84" s="13"/>
      <c r="R84" s="37">
        <f t="shared" si="94"/>
        <v>23310</v>
      </c>
      <c r="S84" s="18">
        <v>14999</v>
      </c>
      <c r="T84" s="18">
        <v>8311</v>
      </c>
      <c r="U84" s="6">
        <v>2024</v>
      </c>
      <c r="V84" s="6">
        <v>2</v>
      </c>
      <c r="W84" s="10">
        <f t="shared" si="95"/>
        <v>23310</v>
      </c>
      <c r="X84" s="18">
        <v>14999</v>
      </c>
      <c r="Y84" s="18">
        <v>8311</v>
      </c>
      <c r="Z84" s="18"/>
      <c r="AA84" s="10">
        <f t="shared" si="96"/>
        <v>21311.010000000002</v>
      </c>
      <c r="AB84" s="87">
        <v>13000</v>
      </c>
      <c r="AC84" s="85">
        <v>8311.010000000002</v>
      </c>
      <c r="AD84" s="10">
        <f t="shared" si="97"/>
        <v>14999</v>
      </c>
      <c r="AE84" s="84"/>
      <c r="AF84" s="84"/>
      <c r="AG84" s="87"/>
      <c r="AH84" s="87"/>
      <c r="AI84" s="81">
        <v>5000</v>
      </c>
      <c r="AJ84" s="81">
        <v>9999</v>
      </c>
    </row>
    <row r="85" spans="1:38" ht="30.75" customHeight="1" x14ac:dyDescent="0.25">
      <c r="A85" s="5"/>
      <c r="B85" s="47" t="s">
        <v>37</v>
      </c>
      <c r="C85" s="61">
        <f>SUM(C86:C93)</f>
        <v>8</v>
      </c>
      <c r="D85" s="61">
        <f t="shared" ref="D85:K85" si="98">SUM(D86:D93)</f>
        <v>49</v>
      </c>
      <c r="E85" s="61">
        <f t="shared" si="98"/>
        <v>126</v>
      </c>
      <c r="F85" s="61">
        <f t="shared" si="98"/>
        <v>0</v>
      </c>
      <c r="G85" s="61">
        <f t="shared" si="98"/>
        <v>116575</v>
      </c>
      <c r="H85" s="61">
        <f t="shared" si="98"/>
        <v>102555</v>
      </c>
      <c r="I85" s="61">
        <f t="shared" si="98"/>
        <v>0</v>
      </c>
      <c r="J85" s="61">
        <f t="shared" si="98"/>
        <v>1620</v>
      </c>
      <c r="K85" s="61">
        <f t="shared" si="98"/>
        <v>12400</v>
      </c>
      <c r="L85" s="61"/>
      <c r="M85" s="61">
        <f t="shared" ref="M85" si="99">SUM(M86:M93)</f>
        <v>8</v>
      </c>
      <c r="N85" s="61">
        <f t="shared" ref="N85" si="100">SUM(N86:N93)</f>
        <v>49</v>
      </c>
      <c r="O85" s="61">
        <f t="shared" ref="O85" si="101">SUM(O86:O93)</f>
        <v>110</v>
      </c>
      <c r="P85" s="61"/>
      <c r="Q85" s="61">
        <f>SUM(Q86:Q274)</f>
        <v>0</v>
      </c>
      <c r="R85" s="61">
        <f t="shared" ref="R85" si="102">SUM(R86:R93)</f>
        <v>161667</v>
      </c>
      <c r="S85" s="61">
        <f t="shared" ref="S85" si="103">SUM(S86:S93)</f>
        <v>141047</v>
      </c>
      <c r="T85" s="61">
        <f t="shared" ref="T85" si="104">SUM(T86:T93)</f>
        <v>20620</v>
      </c>
      <c r="U85" s="61"/>
      <c r="V85" s="61"/>
      <c r="W85" s="61">
        <f t="shared" ref="W85" si="105">SUM(W86:W93)</f>
        <v>121825</v>
      </c>
      <c r="X85" s="61">
        <f t="shared" ref="X85" si="106">SUM(X86:X93)</f>
        <v>106088</v>
      </c>
      <c r="Y85" s="61">
        <f t="shared" ref="Y85" si="107">SUM(Y86:Y93)</f>
        <v>15737</v>
      </c>
      <c r="Z85" s="61">
        <f t="shared" ref="Z85" si="108">SUM(Z86:Z93)</f>
        <v>0</v>
      </c>
      <c r="AA85" s="61">
        <f t="shared" ref="AA85" si="109">SUM(AA86:AA93)</f>
        <v>118624.837</v>
      </c>
      <c r="AB85" s="61">
        <f t="shared" ref="AB85" si="110">SUM(AB86:AB93)</f>
        <v>102888</v>
      </c>
      <c r="AC85" s="61">
        <f t="shared" ref="AC85" si="111">SUM(AC86:AC93)</f>
        <v>15736.836999999998</v>
      </c>
      <c r="AD85" s="61">
        <f t="shared" ref="AD85" si="112">SUM(AD86:AD93)</f>
        <v>106088</v>
      </c>
      <c r="AE85" s="61">
        <f t="shared" ref="AE85" si="113">SUM(AE86:AE93)</f>
        <v>27300</v>
      </c>
      <c r="AF85" s="61">
        <f t="shared" ref="AF85" si="114">SUM(AF86:AF93)</f>
        <v>26288</v>
      </c>
      <c r="AG85" s="61">
        <f t="shared" ref="AG85" si="115">SUM(AG86:AG93)</f>
        <v>14584</v>
      </c>
      <c r="AH85" s="61">
        <f t="shared" ref="AH85" si="116">SUM(AH86:AH93)</f>
        <v>0</v>
      </c>
      <c r="AI85" s="61">
        <f t="shared" ref="AI85" si="117">SUM(AI86:AI93)</f>
        <v>18000</v>
      </c>
      <c r="AJ85" s="61">
        <f t="shared" ref="AJ85" si="118">SUM(AJ86:AJ93)</f>
        <v>19916</v>
      </c>
    </row>
    <row r="86" spans="1:38" ht="48.6" customHeight="1" x14ac:dyDescent="0.25">
      <c r="A86" s="5">
        <v>1</v>
      </c>
      <c r="B86" s="26" t="s">
        <v>89</v>
      </c>
      <c r="C86" s="22">
        <v>1</v>
      </c>
      <c r="D86" s="22">
        <v>9</v>
      </c>
      <c r="E86" s="22">
        <v>19</v>
      </c>
      <c r="F86" s="22"/>
      <c r="G86" s="9">
        <f t="shared" si="93"/>
        <v>18752</v>
      </c>
      <c r="H86" s="18">
        <v>18752</v>
      </c>
      <c r="I86" s="18"/>
      <c r="J86" s="18">
        <v>0</v>
      </c>
      <c r="K86" s="18"/>
      <c r="L86" s="6">
        <v>2021</v>
      </c>
      <c r="M86" s="22">
        <v>1</v>
      </c>
      <c r="N86" s="22">
        <v>9</v>
      </c>
      <c r="O86" s="22">
        <v>19</v>
      </c>
      <c r="P86" s="13"/>
      <c r="Q86" s="13" t="s">
        <v>333</v>
      </c>
      <c r="R86" s="37">
        <f t="shared" si="94"/>
        <v>24017</v>
      </c>
      <c r="S86" s="30">
        <f>24017-183</f>
        <v>23834</v>
      </c>
      <c r="T86" s="30">
        <v>183</v>
      </c>
      <c r="U86" s="6">
        <v>2021</v>
      </c>
      <c r="V86" s="6">
        <v>1</v>
      </c>
      <c r="W86" s="10">
        <f t="shared" si="95"/>
        <v>17838</v>
      </c>
      <c r="X86" s="18">
        <v>17838</v>
      </c>
      <c r="Y86" s="18">
        <v>0</v>
      </c>
      <c r="Z86" s="18"/>
      <c r="AA86" s="10">
        <f t="shared" si="96"/>
        <v>17838</v>
      </c>
      <c r="AB86" s="87">
        <v>17838</v>
      </c>
      <c r="AC86" s="85">
        <v>0</v>
      </c>
      <c r="AD86" s="10">
        <f t="shared" si="97"/>
        <v>17838</v>
      </c>
      <c r="AE86" s="87">
        <v>9500</v>
      </c>
      <c r="AF86" s="87">
        <v>8338</v>
      </c>
      <c r="AG86" s="85"/>
      <c r="AH86" s="85"/>
      <c r="AI86" s="85"/>
      <c r="AJ86" s="85"/>
    </row>
    <row r="87" spans="1:38" ht="56.25" x14ac:dyDescent="0.25">
      <c r="A87" s="5">
        <v>2</v>
      </c>
      <c r="B87" s="26" t="s">
        <v>90</v>
      </c>
      <c r="C87" s="22">
        <v>1</v>
      </c>
      <c r="D87" s="22">
        <v>10</v>
      </c>
      <c r="E87" s="22">
        <v>8</v>
      </c>
      <c r="F87" s="22"/>
      <c r="G87" s="9">
        <f t="shared" si="93"/>
        <v>11807</v>
      </c>
      <c r="H87" s="18">
        <v>11807</v>
      </c>
      <c r="I87" s="18"/>
      <c r="J87" s="18">
        <v>0</v>
      </c>
      <c r="K87" s="18"/>
      <c r="L87" s="6">
        <v>2021</v>
      </c>
      <c r="M87" s="22">
        <v>1</v>
      </c>
      <c r="N87" s="22">
        <v>10</v>
      </c>
      <c r="O87" s="22">
        <v>8</v>
      </c>
      <c r="P87" s="13"/>
      <c r="Q87" s="13" t="s">
        <v>334</v>
      </c>
      <c r="R87" s="37">
        <f t="shared" si="94"/>
        <v>13844</v>
      </c>
      <c r="S87" s="30">
        <f>13844-418</f>
        <v>13426</v>
      </c>
      <c r="T87" s="30">
        <v>418</v>
      </c>
      <c r="U87" s="6">
        <v>2021</v>
      </c>
      <c r="V87" s="6">
        <v>1</v>
      </c>
      <c r="W87" s="10">
        <f t="shared" si="95"/>
        <v>11145</v>
      </c>
      <c r="X87" s="18">
        <v>10727</v>
      </c>
      <c r="Y87" s="18">
        <v>418</v>
      </c>
      <c r="Z87" s="18"/>
      <c r="AA87" s="10">
        <f t="shared" si="96"/>
        <v>11145</v>
      </c>
      <c r="AB87" s="87">
        <v>10727</v>
      </c>
      <c r="AC87" s="85">
        <v>418</v>
      </c>
      <c r="AD87" s="10">
        <f t="shared" si="97"/>
        <v>10727</v>
      </c>
      <c r="AE87" s="87">
        <v>7300</v>
      </c>
      <c r="AF87" s="87">
        <v>3427</v>
      </c>
      <c r="AG87" s="84"/>
      <c r="AH87" s="84"/>
      <c r="AI87" s="84"/>
      <c r="AJ87" s="84"/>
    </row>
    <row r="88" spans="1:38" ht="56.25" x14ac:dyDescent="0.25">
      <c r="A88" s="5">
        <v>3</v>
      </c>
      <c r="B88" s="26" t="s">
        <v>91</v>
      </c>
      <c r="C88" s="22">
        <v>1</v>
      </c>
      <c r="D88" s="22">
        <v>13</v>
      </c>
      <c r="E88" s="22">
        <v>19</v>
      </c>
      <c r="F88" s="22"/>
      <c r="G88" s="9">
        <f t="shared" si="93"/>
        <v>21558</v>
      </c>
      <c r="H88" s="18">
        <v>21558</v>
      </c>
      <c r="I88" s="18"/>
      <c r="J88" s="18">
        <v>0</v>
      </c>
      <c r="K88" s="18"/>
      <c r="L88" s="6">
        <v>2021</v>
      </c>
      <c r="M88" s="22">
        <v>1</v>
      </c>
      <c r="N88" s="22">
        <v>13</v>
      </c>
      <c r="O88" s="22">
        <v>19</v>
      </c>
      <c r="P88" s="13"/>
      <c r="Q88" s="13" t="s">
        <v>335</v>
      </c>
      <c r="R88" s="37">
        <f t="shared" si="94"/>
        <v>26352</v>
      </c>
      <c r="S88" s="30">
        <f>26352-48</f>
        <v>26304</v>
      </c>
      <c r="T88" s="30">
        <v>48</v>
      </c>
      <c r="U88" s="6">
        <v>2021</v>
      </c>
      <c r="V88" s="6">
        <v>1</v>
      </c>
      <c r="W88" s="10">
        <f t="shared" si="95"/>
        <v>18540</v>
      </c>
      <c r="X88" s="18">
        <v>18472</v>
      </c>
      <c r="Y88" s="18">
        <v>68</v>
      </c>
      <c r="Z88" s="18"/>
      <c r="AA88" s="10">
        <f t="shared" si="96"/>
        <v>18539.954000000002</v>
      </c>
      <c r="AB88" s="87">
        <v>18472</v>
      </c>
      <c r="AC88" s="85">
        <v>67.953999999999994</v>
      </c>
      <c r="AD88" s="10">
        <f t="shared" si="97"/>
        <v>18472</v>
      </c>
      <c r="AE88" s="87">
        <v>10500</v>
      </c>
      <c r="AF88" s="87">
        <v>7972</v>
      </c>
      <c r="AG88" s="84"/>
      <c r="AH88" s="84"/>
      <c r="AI88" s="84"/>
      <c r="AJ88" s="84"/>
    </row>
    <row r="89" spans="1:38" ht="48.6" customHeight="1" x14ac:dyDescent="0.25">
      <c r="A89" s="5">
        <v>4</v>
      </c>
      <c r="B89" s="26" t="s">
        <v>92</v>
      </c>
      <c r="C89" s="22">
        <v>1</v>
      </c>
      <c r="D89" s="22">
        <v>6</v>
      </c>
      <c r="E89" s="22">
        <v>19</v>
      </c>
      <c r="F89" s="22"/>
      <c r="G89" s="9">
        <f t="shared" si="93"/>
        <v>16649</v>
      </c>
      <c r="H89" s="18">
        <v>16649</v>
      </c>
      <c r="I89" s="18"/>
      <c r="J89" s="18">
        <v>0</v>
      </c>
      <c r="K89" s="18"/>
      <c r="L89" s="6">
        <v>2021</v>
      </c>
      <c r="M89" s="22">
        <v>1</v>
      </c>
      <c r="N89" s="22">
        <v>6</v>
      </c>
      <c r="O89" s="22">
        <v>7</v>
      </c>
      <c r="P89" s="13"/>
      <c r="Q89" s="13" t="s">
        <v>336</v>
      </c>
      <c r="R89" s="37">
        <f t="shared" si="94"/>
        <v>23187</v>
      </c>
      <c r="S89" s="30">
        <f>23187-6537</f>
        <v>16650</v>
      </c>
      <c r="T89" s="30">
        <v>6537</v>
      </c>
      <c r="U89" s="6">
        <v>2024</v>
      </c>
      <c r="V89" s="6">
        <v>1</v>
      </c>
      <c r="W89" s="10">
        <f t="shared" si="95"/>
        <v>14500</v>
      </c>
      <c r="X89" s="18">
        <v>14100</v>
      </c>
      <c r="Y89" s="18">
        <v>400</v>
      </c>
      <c r="Z89" s="18"/>
      <c r="AA89" s="10">
        <f t="shared" si="96"/>
        <v>14500</v>
      </c>
      <c r="AB89" s="87">
        <v>14100</v>
      </c>
      <c r="AC89" s="85">
        <v>400</v>
      </c>
      <c r="AD89" s="10">
        <f t="shared" si="97"/>
        <v>14100</v>
      </c>
      <c r="AE89" s="84"/>
      <c r="AF89" s="87">
        <v>950</v>
      </c>
      <c r="AG89" s="85">
        <v>1434</v>
      </c>
      <c r="AH89" s="85"/>
      <c r="AI89" s="81">
        <v>6000</v>
      </c>
      <c r="AJ89" s="81">
        <v>5716</v>
      </c>
    </row>
    <row r="90" spans="1:38" ht="52.15" customHeight="1" x14ac:dyDescent="0.25">
      <c r="A90" s="5">
        <v>5</v>
      </c>
      <c r="B90" s="26" t="s">
        <v>95</v>
      </c>
      <c r="C90" s="22">
        <v>1</v>
      </c>
      <c r="D90" s="22">
        <v>7</v>
      </c>
      <c r="E90" s="22">
        <v>9</v>
      </c>
      <c r="F90" s="22"/>
      <c r="G90" s="9">
        <f t="shared" si="93"/>
        <v>8990</v>
      </c>
      <c r="H90" s="18">
        <v>8990</v>
      </c>
      <c r="I90" s="18"/>
      <c r="J90" s="18">
        <v>0</v>
      </c>
      <c r="K90" s="18"/>
      <c r="L90" s="6">
        <v>2022</v>
      </c>
      <c r="M90" s="22">
        <v>1</v>
      </c>
      <c r="N90" s="22">
        <v>7</v>
      </c>
      <c r="O90" s="22">
        <v>9</v>
      </c>
      <c r="P90" s="13"/>
      <c r="Q90" s="13" t="s">
        <v>337</v>
      </c>
      <c r="R90" s="37">
        <f t="shared" si="94"/>
        <v>13207</v>
      </c>
      <c r="S90" s="30">
        <f>13207-2149</f>
        <v>11058</v>
      </c>
      <c r="T90" s="30">
        <v>2149</v>
      </c>
      <c r="U90" s="6">
        <v>2022</v>
      </c>
      <c r="V90" s="6">
        <v>1</v>
      </c>
      <c r="W90" s="10">
        <f t="shared" si="95"/>
        <v>9958</v>
      </c>
      <c r="X90" s="18">
        <v>8470</v>
      </c>
      <c r="Y90" s="18">
        <v>1488</v>
      </c>
      <c r="Z90" s="18"/>
      <c r="AA90" s="10">
        <f t="shared" si="96"/>
        <v>9958</v>
      </c>
      <c r="AB90" s="18">
        <v>8470</v>
      </c>
      <c r="AC90" s="18">
        <v>1488</v>
      </c>
      <c r="AD90" s="10">
        <f t="shared" si="97"/>
        <v>8470</v>
      </c>
      <c r="AE90" s="84"/>
      <c r="AF90" s="87">
        <v>2400</v>
      </c>
      <c r="AG90" s="87">
        <v>6070</v>
      </c>
      <c r="AH90" s="87"/>
      <c r="AI90" s="81"/>
      <c r="AJ90" s="81"/>
    </row>
    <row r="91" spans="1:38" ht="56.25" x14ac:dyDescent="0.25">
      <c r="A91" s="5">
        <v>6</v>
      </c>
      <c r="B91" s="26" t="s">
        <v>96</v>
      </c>
      <c r="C91" s="22">
        <v>1</v>
      </c>
      <c r="D91" s="22">
        <v>2</v>
      </c>
      <c r="E91" s="22">
        <v>14</v>
      </c>
      <c r="F91" s="22"/>
      <c r="G91" s="9">
        <f t="shared" si="93"/>
        <v>10997</v>
      </c>
      <c r="H91" s="18">
        <v>10997</v>
      </c>
      <c r="I91" s="18"/>
      <c r="J91" s="18">
        <v>0</v>
      </c>
      <c r="K91" s="18"/>
      <c r="L91" s="6">
        <v>2022</v>
      </c>
      <c r="M91" s="22">
        <v>1</v>
      </c>
      <c r="N91" s="22">
        <v>2</v>
      </c>
      <c r="O91" s="22">
        <v>14</v>
      </c>
      <c r="P91" s="13"/>
      <c r="Q91" s="13" t="s">
        <v>333</v>
      </c>
      <c r="R91" s="37">
        <f t="shared" si="94"/>
        <v>24017</v>
      </c>
      <c r="S91" s="30">
        <f>24017-444</f>
        <v>23573</v>
      </c>
      <c r="T91" s="30">
        <v>444</v>
      </c>
      <c r="U91" s="6">
        <v>2022</v>
      </c>
      <c r="V91" s="6">
        <v>1</v>
      </c>
      <c r="W91" s="10">
        <f t="shared" si="95"/>
        <v>12803</v>
      </c>
      <c r="X91" s="18">
        <v>10281</v>
      </c>
      <c r="Y91" s="18">
        <v>2522</v>
      </c>
      <c r="Z91" s="18"/>
      <c r="AA91" s="10">
        <f t="shared" si="96"/>
        <v>12803</v>
      </c>
      <c r="AB91" s="18">
        <v>10281</v>
      </c>
      <c r="AC91" s="18">
        <v>2522</v>
      </c>
      <c r="AD91" s="10">
        <f t="shared" si="97"/>
        <v>10281</v>
      </c>
      <c r="AE91" s="84"/>
      <c r="AF91" s="87">
        <v>3201</v>
      </c>
      <c r="AG91" s="87">
        <v>7080</v>
      </c>
      <c r="AH91" s="87"/>
      <c r="AI91" s="81"/>
      <c r="AJ91" s="81"/>
    </row>
    <row r="92" spans="1:38" ht="55.9" customHeight="1" x14ac:dyDescent="0.25">
      <c r="A92" s="5">
        <v>7</v>
      </c>
      <c r="B92" s="26" t="s">
        <v>94</v>
      </c>
      <c r="C92" s="18">
        <v>1</v>
      </c>
      <c r="D92" s="18">
        <v>2</v>
      </c>
      <c r="E92" s="18">
        <v>19</v>
      </c>
      <c r="F92" s="18"/>
      <c r="G92" s="9">
        <f t="shared" si="93"/>
        <v>13802</v>
      </c>
      <c r="H92" s="18">
        <v>13802</v>
      </c>
      <c r="I92" s="18"/>
      <c r="J92" s="18">
        <v>0</v>
      </c>
      <c r="K92" s="18"/>
      <c r="L92" s="6">
        <v>2023</v>
      </c>
      <c r="M92" s="18">
        <v>1</v>
      </c>
      <c r="N92" s="22">
        <v>2</v>
      </c>
      <c r="O92" s="22">
        <v>17</v>
      </c>
      <c r="P92" s="13"/>
      <c r="Q92" s="13"/>
      <c r="R92" s="37">
        <f t="shared" si="94"/>
        <v>14973</v>
      </c>
      <c r="S92" s="30">
        <v>13802</v>
      </c>
      <c r="T92" s="30">
        <v>1171</v>
      </c>
      <c r="U92" s="6">
        <v>2023</v>
      </c>
      <c r="V92" s="6">
        <v>1</v>
      </c>
      <c r="W92" s="10">
        <f t="shared" si="95"/>
        <v>14971</v>
      </c>
      <c r="X92" s="18">
        <v>13800</v>
      </c>
      <c r="Y92" s="18">
        <v>1171</v>
      </c>
      <c r="Z92" s="18"/>
      <c r="AA92" s="10">
        <f t="shared" si="96"/>
        <v>13170.882999999998</v>
      </c>
      <c r="AB92" s="87">
        <v>12000</v>
      </c>
      <c r="AC92" s="85">
        <v>1170.882999999998</v>
      </c>
      <c r="AD92" s="10">
        <f t="shared" si="97"/>
        <v>13800</v>
      </c>
      <c r="AE92" s="84"/>
      <c r="AF92" s="84"/>
      <c r="AG92" s="87"/>
      <c r="AH92" s="87"/>
      <c r="AI92" s="81">
        <v>7000</v>
      </c>
      <c r="AJ92" s="81">
        <v>6800</v>
      </c>
    </row>
    <row r="93" spans="1:38" ht="61.15" customHeight="1" x14ac:dyDescent="0.25">
      <c r="A93" s="5">
        <v>8</v>
      </c>
      <c r="B93" s="26" t="s">
        <v>93</v>
      </c>
      <c r="C93" s="18">
        <v>1</v>
      </c>
      <c r="D93" s="18">
        <v>0</v>
      </c>
      <c r="E93" s="18">
        <v>19</v>
      </c>
      <c r="F93" s="18"/>
      <c r="G93" s="9">
        <f>H93+I93+J93+K93</f>
        <v>14020</v>
      </c>
      <c r="H93" s="18"/>
      <c r="I93" s="18"/>
      <c r="J93" s="18">
        <v>1620</v>
      </c>
      <c r="K93" s="18">
        <v>12400</v>
      </c>
      <c r="L93" s="6">
        <v>2023</v>
      </c>
      <c r="M93" s="18">
        <v>1</v>
      </c>
      <c r="N93" s="22">
        <v>0</v>
      </c>
      <c r="O93" s="22">
        <v>17</v>
      </c>
      <c r="P93" s="13"/>
      <c r="Q93" s="13"/>
      <c r="R93" s="37">
        <f t="shared" si="94"/>
        <v>22070</v>
      </c>
      <c r="S93" s="30">
        <v>12400</v>
      </c>
      <c r="T93" s="30">
        <v>9670</v>
      </c>
      <c r="U93" s="6">
        <v>2024</v>
      </c>
      <c r="V93" s="6">
        <v>1</v>
      </c>
      <c r="W93" s="10">
        <f t="shared" si="95"/>
        <v>22070</v>
      </c>
      <c r="X93" s="18">
        <v>12400</v>
      </c>
      <c r="Y93" s="18">
        <v>9670</v>
      </c>
      <c r="Z93" s="18"/>
      <c r="AA93" s="10">
        <f t="shared" si="96"/>
        <v>20670</v>
      </c>
      <c r="AB93" s="10">
        <v>11000</v>
      </c>
      <c r="AC93" s="10">
        <f>Y93</f>
        <v>9670</v>
      </c>
      <c r="AD93" s="10">
        <f t="shared" si="97"/>
        <v>12400</v>
      </c>
      <c r="AE93" s="64"/>
      <c r="AF93" s="64"/>
      <c r="AG93" s="18"/>
      <c r="AH93" s="18"/>
      <c r="AI93" s="18">
        <v>5000</v>
      </c>
      <c r="AJ93" s="18">
        <v>7400</v>
      </c>
    </row>
    <row r="94" spans="1:38" ht="30" customHeight="1" x14ac:dyDescent="0.25">
      <c r="A94" s="5"/>
      <c r="B94" s="47" t="s">
        <v>64</v>
      </c>
      <c r="C94" s="61">
        <f>SUM(C95:C97)</f>
        <v>3</v>
      </c>
      <c r="D94" s="61">
        <f t="shared" ref="D94:AJ94" si="119">SUM(D95:D97)</f>
        <v>6</v>
      </c>
      <c r="E94" s="61">
        <f t="shared" si="119"/>
        <v>70</v>
      </c>
      <c r="F94" s="61">
        <f t="shared" si="119"/>
        <v>0</v>
      </c>
      <c r="G94" s="61">
        <f t="shared" si="119"/>
        <v>61562</v>
      </c>
      <c r="H94" s="61">
        <f t="shared" si="119"/>
        <v>21811</v>
      </c>
      <c r="I94" s="61">
        <f t="shared" si="119"/>
        <v>0</v>
      </c>
      <c r="J94" s="61">
        <f t="shared" si="119"/>
        <v>0</v>
      </c>
      <c r="K94" s="61">
        <f t="shared" si="119"/>
        <v>39751</v>
      </c>
      <c r="L94" s="61"/>
      <c r="M94" s="61">
        <f t="shared" si="119"/>
        <v>3</v>
      </c>
      <c r="N94" s="61">
        <f t="shared" si="119"/>
        <v>6</v>
      </c>
      <c r="O94" s="61">
        <f t="shared" si="119"/>
        <v>70</v>
      </c>
      <c r="P94" s="61"/>
      <c r="Q94" s="61"/>
      <c r="R94" s="61">
        <f t="shared" si="119"/>
        <v>67430</v>
      </c>
      <c r="S94" s="61">
        <f t="shared" si="119"/>
        <v>66304</v>
      </c>
      <c r="T94" s="61">
        <f t="shared" si="119"/>
        <v>1126</v>
      </c>
      <c r="U94" s="65"/>
      <c r="V94" s="61"/>
      <c r="W94" s="61">
        <f t="shared" si="119"/>
        <v>56612</v>
      </c>
      <c r="X94" s="61">
        <f>SUM(X95:X97)</f>
        <v>52870</v>
      </c>
      <c r="Y94" s="61">
        <f t="shared" si="119"/>
        <v>3742</v>
      </c>
      <c r="Z94" s="61">
        <f t="shared" si="119"/>
        <v>0</v>
      </c>
      <c r="AA94" s="61">
        <f t="shared" si="119"/>
        <v>55912</v>
      </c>
      <c r="AB94" s="61">
        <f t="shared" si="119"/>
        <v>52170</v>
      </c>
      <c r="AC94" s="61">
        <f t="shared" si="119"/>
        <v>3742</v>
      </c>
      <c r="AD94" s="61">
        <f t="shared" si="119"/>
        <v>52870</v>
      </c>
      <c r="AE94" s="61">
        <f t="shared" si="119"/>
        <v>10500</v>
      </c>
      <c r="AF94" s="61">
        <f t="shared" si="119"/>
        <v>8490</v>
      </c>
      <c r="AG94" s="61">
        <f t="shared" si="119"/>
        <v>9795</v>
      </c>
      <c r="AH94" s="61">
        <f t="shared" si="119"/>
        <v>0</v>
      </c>
      <c r="AI94" s="61">
        <f t="shared" si="119"/>
        <v>14385</v>
      </c>
      <c r="AJ94" s="61">
        <f t="shared" si="119"/>
        <v>9700</v>
      </c>
    </row>
    <row r="95" spans="1:38" ht="51" customHeight="1" x14ac:dyDescent="0.25">
      <c r="A95" s="5">
        <v>1</v>
      </c>
      <c r="B95" s="26" t="s">
        <v>98</v>
      </c>
      <c r="C95" s="22">
        <v>1</v>
      </c>
      <c r="D95" s="22">
        <v>3</v>
      </c>
      <c r="E95" s="22">
        <v>24</v>
      </c>
      <c r="F95" s="22"/>
      <c r="G95" s="9">
        <f>H95+I95+J95+K95</f>
        <v>21811</v>
      </c>
      <c r="H95" s="18">
        <v>21811</v>
      </c>
      <c r="I95" s="18"/>
      <c r="J95" s="18">
        <v>0</v>
      </c>
      <c r="K95" s="18"/>
      <c r="L95" s="6">
        <v>2021</v>
      </c>
      <c r="M95" s="22">
        <v>1</v>
      </c>
      <c r="N95" s="22">
        <v>3</v>
      </c>
      <c r="O95" s="22">
        <v>24</v>
      </c>
      <c r="P95" s="13"/>
      <c r="Q95" s="13" t="s">
        <v>400</v>
      </c>
      <c r="R95" s="37">
        <f t="shared" si="94"/>
        <v>22827</v>
      </c>
      <c r="S95" s="62">
        <f>22827-90</f>
        <v>22737</v>
      </c>
      <c r="T95" s="62">
        <v>90</v>
      </c>
      <c r="U95" s="6">
        <v>2021</v>
      </c>
      <c r="V95" s="6">
        <v>1</v>
      </c>
      <c r="W95" s="10">
        <f t="shared" si="95"/>
        <v>16680</v>
      </c>
      <c r="X95" s="18">
        <v>16590</v>
      </c>
      <c r="Y95" s="18">
        <v>90</v>
      </c>
      <c r="Z95" s="18"/>
      <c r="AA95" s="10">
        <f t="shared" si="96"/>
        <v>16680</v>
      </c>
      <c r="AB95" s="87">
        <v>16590</v>
      </c>
      <c r="AC95" s="85">
        <v>90</v>
      </c>
      <c r="AD95" s="10">
        <f t="shared" si="97"/>
        <v>16590</v>
      </c>
      <c r="AE95" s="87">
        <v>10500</v>
      </c>
      <c r="AF95" s="87">
        <v>6090</v>
      </c>
      <c r="AG95" s="84"/>
      <c r="AH95" s="84"/>
      <c r="AI95" s="84"/>
      <c r="AJ95" s="84"/>
    </row>
    <row r="96" spans="1:38" ht="45.6" customHeight="1" x14ac:dyDescent="0.25">
      <c r="A96" s="5">
        <v>2</v>
      </c>
      <c r="B96" s="26" t="s">
        <v>99</v>
      </c>
      <c r="C96" s="22">
        <v>1</v>
      </c>
      <c r="D96" s="22">
        <v>0</v>
      </c>
      <c r="E96" s="22">
        <v>22</v>
      </c>
      <c r="F96" s="22"/>
      <c r="G96" s="9">
        <f>H96+I96+J96+K96</f>
        <v>17778</v>
      </c>
      <c r="H96" s="18"/>
      <c r="I96" s="18"/>
      <c r="J96" s="18">
        <v>0</v>
      </c>
      <c r="K96" s="18">
        <v>17778</v>
      </c>
      <c r="L96" s="6">
        <v>2022</v>
      </c>
      <c r="M96" s="22">
        <v>1</v>
      </c>
      <c r="N96" s="22">
        <v>0</v>
      </c>
      <c r="O96" s="22">
        <v>22</v>
      </c>
      <c r="P96" s="13"/>
      <c r="Q96" s="13" t="s">
        <v>401</v>
      </c>
      <c r="R96" s="37">
        <f t="shared" si="94"/>
        <v>21594</v>
      </c>
      <c r="S96" s="62">
        <v>21594</v>
      </c>
      <c r="T96" s="62"/>
      <c r="U96" s="6">
        <v>2022</v>
      </c>
      <c r="V96" s="6">
        <v>1</v>
      </c>
      <c r="W96" s="10">
        <f t="shared" si="95"/>
        <v>16923</v>
      </c>
      <c r="X96" s="18">
        <v>16580</v>
      </c>
      <c r="Y96" s="18">
        <v>343</v>
      </c>
      <c r="Z96" s="18"/>
      <c r="AA96" s="10">
        <f t="shared" si="96"/>
        <v>16923</v>
      </c>
      <c r="AB96" s="87">
        <v>16580</v>
      </c>
      <c r="AC96" s="85">
        <v>343</v>
      </c>
      <c r="AD96" s="10">
        <f t="shared" si="97"/>
        <v>16580</v>
      </c>
      <c r="AE96" s="84"/>
      <c r="AF96" s="87">
        <v>2400</v>
      </c>
      <c r="AG96" s="87">
        <v>9795</v>
      </c>
      <c r="AH96" s="87"/>
      <c r="AI96" s="81">
        <f>5583-1198</f>
        <v>4385</v>
      </c>
      <c r="AJ96" s="81"/>
      <c r="AL96" s="118"/>
    </row>
    <row r="97" spans="1:37" ht="39.6" customHeight="1" x14ac:dyDescent="0.25">
      <c r="A97" s="5">
        <v>3</v>
      </c>
      <c r="B97" s="26" t="s">
        <v>100</v>
      </c>
      <c r="C97" s="18">
        <v>1</v>
      </c>
      <c r="D97" s="18">
        <v>3</v>
      </c>
      <c r="E97" s="18">
        <v>24</v>
      </c>
      <c r="F97" s="18"/>
      <c r="G97" s="9">
        <f>H97+I97+J97+K97</f>
        <v>21973</v>
      </c>
      <c r="H97" s="18"/>
      <c r="I97" s="18"/>
      <c r="J97" s="18">
        <v>0</v>
      </c>
      <c r="K97" s="18">
        <v>21973</v>
      </c>
      <c r="L97" s="6">
        <v>2024</v>
      </c>
      <c r="M97" s="18">
        <v>1</v>
      </c>
      <c r="N97" s="22">
        <v>3</v>
      </c>
      <c r="O97" s="22">
        <v>24</v>
      </c>
      <c r="P97" s="13"/>
      <c r="Q97" s="63"/>
      <c r="R97" s="37">
        <f t="shared" si="94"/>
        <v>23009</v>
      </c>
      <c r="S97" s="62">
        <v>21973</v>
      </c>
      <c r="T97" s="62">
        <v>1036</v>
      </c>
      <c r="U97" s="6">
        <v>2023</v>
      </c>
      <c r="V97" s="6">
        <v>1</v>
      </c>
      <c r="W97" s="10">
        <f t="shared" si="95"/>
        <v>23009</v>
      </c>
      <c r="X97" s="18">
        <v>19700</v>
      </c>
      <c r="Y97" s="18">
        <v>3309</v>
      </c>
      <c r="Z97" s="18"/>
      <c r="AA97" s="10">
        <f t="shared" si="96"/>
        <v>22309</v>
      </c>
      <c r="AB97" s="87">
        <v>19000</v>
      </c>
      <c r="AC97" s="85">
        <v>3309</v>
      </c>
      <c r="AD97" s="10">
        <f t="shared" si="97"/>
        <v>19700</v>
      </c>
      <c r="AE97" s="84"/>
      <c r="AF97" s="84"/>
      <c r="AG97" s="87"/>
      <c r="AH97" s="87"/>
      <c r="AI97" s="81">
        <v>10000</v>
      </c>
      <c r="AJ97" s="81">
        <v>9700</v>
      </c>
    </row>
    <row r="98" spans="1:37" ht="46.5" customHeight="1" x14ac:dyDescent="0.25">
      <c r="A98" s="11" t="s">
        <v>101</v>
      </c>
      <c r="B98" s="47" t="s">
        <v>102</v>
      </c>
      <c r="C98" s="49">
        <f t="shared" ref="C98:Z98" si="120">C99+C103+C111</f>
        <v>13</v>
      </c>
      <c r="D98" s="49">
        <f t="shared" si="120"/>
        <v>111</v>
      </c>
      <c r="E98" s="49">
        <f t="shared" si="120"/>
        <v>240</v>
      </c>
      <c r="F98" s="49">
        <f t="shared" si="120"/>
        <v>0</v>
      </c>
      <c r="G98" s="49">
        <f t="shared" si="120"/>
        <v>268930</v>
      </c>
      <c r="H98" s="49">
        <f t="shared" si="120"/>
        <v>169963</v>
      </c>
      <c r="I98" s="49">
        <f t="shared" si="120"/>
        <v>0</v>
      </c>
      <c r="J98" s="49">
        <f t="shared" si="120"/>
        <v>7200</v>
      </c>
      <c r="K98" s="49">
        <f t="shared" si="120"/>
        <v>91767</v>
      </c>
      <c r="L98" s="49">
        <f t="shared" si="120"/>
        <v>0</v>
      </c>
      <c r="M98" s="49">
        <f t="shared" si="120"/>
        <v>13</v>
      </c>
      <c r="N98" s="49">
        <f t="shared" si="120"/>
        <v>128</v>
      </c>
      <c r="O98" s="49">
        <f t="shared" si="120"/>
        <v>255</v>
      </c>
      <c r="P98" s="49"/>
      <c r="Q98" s="49">
        <f t="shared" si="120"/>
        <v>0</v>
      </c>
      <c r="R98" s="49">
        <f t="shared" si="120"/>
        <v>406787</v>
      </c>
      <c r="S98" s="49">
        <f t="shared" si="120"/>
        <v>333519</v>
      </c>
      <c r="T98" s="49">
        <f t="shared" si="120"/>
        <v>73268</v>
      </c>
      <c r="U98" s="49">
        <f t="shared" si="120"/>
        <v>0</v>
      </c>
      <c r="V98" s="49">
        <f t="shared" si="120"/>
        <v>0</v>
      </c>
      <c r="W98" s="49">
        <f t="shared" si="120"/>
        <v>332057</v>
      </c>
      <c r="X98" s="49">
        <f t="shared" si="120"/>
        <v>297128</v>
      </c>
      <c r="Y98" s="49">
        <f t="shared" si="120"/>
        <v>34929</v>
      </c>
      <c r="Z98" s="49">
        <f t="shared" si="120"/>
        <v>0</v>
      </c>
      <c r="AA98" s="49">
        <f t="shared" ref="AA98:AJ98" si="121">AA99+AA103+AA111</f>
        <v>329057</v>
      </c>
      <c r="AB98" s="49">
        <f t="shared" si="121"/>
        <v>294128</v>
      </c>
      <c r="AC98" s="49">
        <f t="shared" si="121"/>
        <v>34929</v>
      </c>
      <c r="AD98" s="49">
        <f t="shared" si="121"/>
        <v>297128</v>
      </c>
      <c r="AE98" s="49">
        <f t="shared" si="121"/>
        <v>51000</v>
      </c>
      <c r="AF98" s="49">
        <f t="shared" si="121"/>
        <v>46428</v>
      </c>
      <c r="AG98" s="49">
        <f t="shared" si="121"/>
        <v>51016</v>
      </c>
      <c r="AH98" s="49">
        <f t="shared" si="121"/>
        <v>48684</v>
      </c>
      <c r="AI98" s="49">
        <f t="shared" si="121"/>
        <v>44000</v>
      </c>
      <c r="AJ98" s="49">
        <f t="shared" si="121"/>
        <v>56000</v>
      </c>
      <c r="AK98" s="3"/>
    </row>
    <row r="99" spans="1:37" ht="36.75" customHeight="1" x14ac:dyDescent="0.25">
      <c r="A99" s="5"/>
      <c r="B99" s="47" t="s">
        <v>29</v>
      </c>
      <c r="C99" s="33">
        <f>SUM(C100:C102)</f>
        <v>3</v>
      </c>
      <c r="D99" s="33">
        <f t="shared" ref="D99:K99" si="122">SUM(D100:D102)</f>
        <v>16</v>
      </c>
      <c r="E99" s="33">
        <f t="shared" si="122"/>
        <v>38</v>
      </c>
      <c r="F99" s="33">
        <f t="shared" si="122"/>
        <v>0</v>
      </c>
      <c r="G99" s="33">
        <f t="shared" si="122"/>
        <v>54785</v>
      </c>
      <c r="H99" s="33">
        <f t="shared" si="122"/>
        <v>29790</v>
      </c>
      <c r="I99" s="33">
        <f t="shared" si="122"/>
        <v>0</v>
      </c>
      <c r="J99" s="33">
        <f t="shared" si="122"/>
        <v>1800</v>
      </c>
      <c r="K99" s="33">
        <f t="shared" si="122"/>
        <v>23195</v>
      </c>
      <c r="L99" s="33"/>
      <c r="M99" s="33">
        <f t="shared" ref="M99" si="123">SUM(M100:M102)</f>
        <v>3</v>
      </c>
      <c r="N99" s="33">
        <f t="shared" ref="N99" si="124">SUM(N100:N102)</f>
        <v>19</v>
      </c>
      <c r="O99" s="33">
        <f t="shared" ref="O99" si="125">SUM(O100:O102)</f>
        <v>48</v>
      </c>
      <c r="P99" s="33"/>
      <c r="Q99" s="33"/>
      <c r="R99" s="33">
        <f t="shared" ref="R99" si="126">SUM(R100:R102)</f>
        <v>85830</v>
      </c>
      <c r="S99" s="33">
        <f t="shared" ref="S99" si="127">SUM(S100:S102)</f>
        <v>72342</v>
      </c>
      <c r="T99" s="33">
        <f t="shared" ref="T99" si="128">SUM(T100:T102)</f>
        <v>13488</v>
      </c>
      <c r="U99" s="33"/>
      <c r="V99" s="33"/>
      <c r="W99" s="33">
        <f t="shared" ref="W99" si="129">SUM(W100:W102)</f>
        <v>69300</v>
      </c>
      <c r="X99" s="33">
        <f t="shared" ref="X99" si="130">SUM(X100:X102)</f>
        <v>62800</v>
      </c>
      <c r="Y99" s="33">
        <f t="shared" ref="Y99" si="131">SUM(Y100:Y102)</f>
        <v>6500</v>
      </c>
      <c r="Z99" s="33">
        <f t="shared" ref="Z99" si="132">SUM(Z100:Z102)</f>
        <v>0</v>
      </c>
      <c r="AA99" s="33">
        <f t="shared" ref="AA99" si="133">SUM(AA100:AA102)</f>
        <v>69300</v>
      </c>
      <c r="AB99" s="33">
        <f t="shared" ref="AB99" si="134">SUM(AB100:AB102)</f>
        <v>62800</v>
      </c>
      <c r="AC99" s="33">
        <f t="shared" ref="AC99" si="135">SUM(AC100:AC102)</f>
        <v>6500</v>
      </c>
      <c r="AD99" s="33">
        <f t="shared" ref="AD99" si="136">SUM(AD100:AD102)</f>
        <v>62800</v>
      </c>
      <c r="AE99" s="33">
        <f t="shared" ref="AE99" si="137">SUM(AE100:AE102)</f>
        <v>0</v>
      </c>
      <c r="AF99" s="33">
        <f t="shared" ref="AF99" si="138">SUM(AF100:AF102)</f>
        <v>6800</v>
      </c>
      <c r="AG99" s="33">
        <f t="shared" ref="AG99" si="139">SUM(AG100:AG102)</f>
        <v>10100</v>
      </c>
      <c r="AH99" s="33">
        <f t="shared" ref="AH99" si="140">SUM(AH100:AH102)</f>
        <v>9900</v>
      </c>
      <c r="AI99" s="33">
        <f t="shared" ref="AI99" si="141">SUM(AI100:AI102)</f>
        <v>16000</v>
      </c>
      <c r="AJ99" s="33">
        <f t="shared" ref="AJ99" si="142">SUM(AJ100:AJ102)</f>
        <v>20000</v>
      </c>
    </row>
    <row r="100" spans="1:37" ht="43.9" customHeight="1" x14ac:dyDescent="0.25">
      <c r="A100" s="5">
        <v>1</v>
      </c>
      <c r="B100" s="5" t="s">
        <v>103</v>
      </c>
      <c r="C100" s="22">
        <v>1</v>
      </c>
      <c r="D100" s="22">
        <v>0</v>
      </c>
      <c r="E100" s="22">
        <v>12</v>
      </c>
      <c r="F100" s="22"/>
      <c r="G100" s="9">
        <f t="shared" ref="G100:G114" si="143">H100+I100+J100+K100</f>
        <v>6541</v>
      </c>
      <c r="H100" s="18">
        <v>6541</v>
      </c>
      <c r="I100" s="18"/>
      <c r="J100" s="18"/>
      <c r="K100" s="18"/>
      <c r="L100" s="6">
        <v>2022</v>
      </c>
      <c r="M100" s="22">
        <v>1</v>
      </c>
      <c r="N100" s="22">
        <v>4</v>
      </c>
      <c r="O100" s="22">
        <v>16</v>
      </c>
      <c r="P100" s="13"/>
      <c r="Q100" s="13" t="s">
        <v>422</v>
      </c>
      <c r="R100" s="37">
        <f t="shared" ref="R100:R114" si="144">S100+T100</f>
        <v>21912</v>
      </c>
      <c r="S100" s="72">
        <v>15400</v>
      </c>
      <c r="T100" s="72">
        <f>21912-15400</f>
        <v>6512</v>
      </c>
      <c r="U100" s="6">
        <v>2022</v>
      </c>
      <c r="V100" s="6">
        <v>2</v>
      </c>
      <c r="W100" s="10">
        <f t="shared" ref="W100:W114" si="145">X100+Y100+Z100</f>
        <v>17400</v>
      </c>
      <c r="X100" s="87">
        <v>15400</v>
      </c>
      <c r="Y100" s="85">
        <v>2000</v>
      </c>
      <c r="Z100" s="18"/>
      <c r="AA100" s="18">
        <f t="shared" ref="AA100:AA114" si="146">AB100+AC100</f>
        <v>17400</v>
      </c>
      <c r="AB100" s="18">
        <f t="shared" ref="AB100:AC102" si="147">X100</f>
        <v>15400</v>
      </c>
      <c r="AC100" s="29">
        <f t="shared" si="147"/>
        <v>2000</v>
      </c>
      <c r="AD100" s="10">
        <f t="shared" ref="AD100:AD114" si="148">AE100+AF100+AG100+AH100+AI100+AJ100</f>
        <v>15400</v>
      </c>
      <c r="AE100" s="87"/>
      <c r="AF100" s="87">
        <v>3400</v>
      </c>
      <c r="AG100" s="87">
        <v>3100</v>
      </c>
      <c r="AH100" s="87">
        <v>4900</v>
      </c>
      <c r="AI100" s="87">
        <v>4000</v>
      </c>
      <c r="AJ100" s="87"/>
    </row>
    <row r="101" spans="1:37" ht="46.15" customHeight="1" x14ac:dyDescent="0.3">
      <c r="A101" s="5">
        <v>2</v>
      </c>
      <c r="B101" s="5" t="s">
        <v>106</v>
      </c>
      <c r="C101" s="22">
        <v>1</v>
      </c>
      <c r="D101" s="22">
        <v>8</v>
      </c>
      <c r="E101" s="22">
        <v>13</v>
      </c>
      <c r="F101" s="22"/>
      <c r="G101" s="9">
        <f t="shared" si="143"/>
        <v>25049</v>
      </c>
      <c r="H101" s="18">
        <v>23249</v>
      </c>
      <c r="I101" s="18"/>
      <c r="J101" s="18">
        <v>1800</v>
      </c>
      <c r="K101" s="18"/>
      <c r="L101" s="6">
        <v>2024</v>
      </c>
      <c r="M101" s="22">
        <v>1</v>
      </c>
      <c r="N101" s="66">
        <v>8</v>
      </c>
      <c r="O101" s="22">
        <v>16</v>
      </c>
      <c r="P101" s="13"/>
      <c r="Q101" s="13" t="s">
        <v>402</v>
      </c>
      <c r="R101" s="37">
        <f t="shared" si="144"/>
        <v>21876</v>
      </c>
      <c r="S101" s="72">
        <v>17400</v>
      </c>
      <c r="T101" s="72">
        <f>21876-17400</f>
        <v>4476</v>
      </c>
      <c r="U101" s="6">
        <v>2022</v>
      </c>
      <c r="V101" s="6">
        <v>2</v>
      </c>
      <c r="W101" s="10">
        <f t="shared" si="145"/>
        <v>19400</v>
      </c>
      <c r="X101" s="87">
        <v>17400</v>
      </c>
      <c r="Y101" s="85">
        <v>2000</v>
      </c>
      <c r="Z101" s="18"/>
      <c r="AA101" s="18">
        <f t="shared" si="146"/>
        <v>19400</v>
      </c>
      <c r="AB101" s="18">
        <f t="shared" si="147"/>
        <v>17400</v>
      </c>
      <c r="AC101" s="29">
        <f t="shared" si="147"/>
        <v>2000</v>
      </c>
      <c r="AD101" s="10">
        <f t="shared" si="148"/>
        <v>17400</v>
      </c>
      <c r="AE101" s="87"/>
      <c r="AF101" s="87">
        <v>3400</v>
      </c>
      <c r="AG101" s="87">
        <v>7000</v>
      </c>
      <c r="AH101" s="87">
        <v>5000</v>
      </c>
      <c r="AI101" s="87">
        <v>2000</v>
      </c>
      <c r="AJ101" s="87"/>
    </row>
    <row r="102" spans="1:37" ht="56.45" customHeight="1" x14ac:dyDescent="0.25">
      <c r="A102" s="5">
        <v>3</v>
      </c>
      <c r="B102" s="5" t="s">
        <v>109</v>
      </c>
      <c r="C102" s="18">
        <v>1</v>
      </c>
      <c r="D102" s="18">
        <v>8</v>
      </c>
      <c r="E102" s="18">
        <v>13</v>
      </c>
      <c r="F102" s="18"/>
      <c r="G102" s="9">
        <f t="shared" si="143"/>
        <v>23195</v>
      </c>
      <c r="H102" s="18"/>
      <c r="I102" s="18"/>
      <c r="J102" s="18"/>
      <c r="K102" s="18">
        <v>23195</v>
      </c>
      <c r="L102" s="6">
        <v>2024</v>
      </c>
      <c r="M102" s="18">
        <v>1</v>
      </c>
      <c r="N102" s="22">
        <v>7</v>
      </c>
      <c r="O102" s="22">
        <v>16</v>
      </c>
      <c r="P102" s="13"/>
      <c r="Q102" s="90" t="s">
        <v>423</v>
      </c>
      <c r="R102" s="89">
        <f>S102+T102</f>
        <v>42042</v>
      </c>
      <c r="S102" s="85">
        <v>39542</v>
      </c>
      <c r="T102" s="85">
        <v>2500</v>
      </c>
      <c r="U102" s="6">
        <v>2023</v>
      </c>
      <c r="V102" s="6">
        <v>2</v>
      </c>
      <c r="W102" s="10">
        <f t="shared" si="145"/>
        <v>32500</v>
      </c>
      <c r="X102" s="87">
        <v>30000</v>
      </c>
      <c r="Y102" s="85">
        <v>2500</v>
      </c>
      <c r="Z102" s="18"/>
      <c r="AA102" s="10">
        <f t="shared" si="146"/>
        <v>32500</v>
      </c>
      <c r="AB102" s="10">
        <f t="shared" si="147"/>
        <v>30000</v>
      </c>
      <c r="AC102" s="10">
        <f t="shared" si="147"/>
        <v>2500</v>
      </c>
      <c r="AD102" s="10">
        <f t="shared" si="148"/>
        <v>30000</v>
      </c>
      <c r="AE102" s="87"/>
      <c r="AF102" s="87"/>
      <c r="AG102" s="87"/>
      <c r="AH102" s="87"/>
      <c r="AI102" s="87">
        <v>10000</v>
      </c>
      <c r="AJ102" s="87">
        <v>20000</v>
      </c>
    </row>
    <row r="103" spans="1:37" ht="46.5" customHeight="1" x14ac:dyDescent="0.25">
      <c r="A103" s="5"/>
      <c r="B103" s="47" t="s">
        <v>37</v>
      </c>
      <c r="C103" s="33">
        <f>C104+C105+C106+C107+C108+C109+C110</f>
        <v>7</v>
      </c>
      <c r="D103" s="33">
        <f t="shared" ref="D103:AJ103" si="149">D104+D105+D106+D107+D108+D109+D110</f>
        <v>95</v>
      </c>
      <c r="E103" s="33">
        <f t="shared" si="149"/>
        <v>118</v>
      </c>
      <c r="F103" s="33">
        <f t="shared" si="149"/>
        <v>0</v>
      </c>
      <c r="G103" s="33">
        <f t="shared" si="149"/>
        <v>148346</v>
      </c>
      <c r="H103" s="33">
        <f t="shared" si="149"/>
        <v>74374</v>
      </c>
      <c r="I103" s="33">
        <f t="shared" si="149"/>
        <v>0</v>
      </c>
      <c r="J103" s="33">
        <f t="shared" si="149"/>
        <v>5400</v>
      </c>
      <c r="K103" s="33">
        <f t="shared" si="149"/>
        <v>68572</v>
      </c>
      <c r="L103" s="33"/>
      <c r="M103" s="33">
        <f t="shared" si="149"/>
        <v>7</v>
      </c>
      <c r="N103" s="33">
        <f t="shared" si="149"/>
        <v>104</v>
      </c>
      <c r="O103" s="33">
        <f t="shared" si="149"/>
        <v>121</v>
      </c>
      <c r="P103" s="33"/>
      <c r="Q103" s="33"/>
      <c r="R103" s="33">
        <f t="shared" si="149"/>
        <v>223487</v>
      </c>
      <c r="S103" s="33">
        <f t="shared" si="149"/>
        <v>186634</v>
      </c>
      <c r="T103" s="33">
        <f t="shared" si="149"/>
        <v>36853</v>
      </c>
      <c r="U103" s="33"/>
      <c r="V103" s="33"/>
      <c r="W103" s="33">
        <f t="shared" si="149"/>
        <v>180214</v>
      </c>
      <c r="X103" s="33">
        <f>X104+X105+X106+X107+X108+X109+X110</f>
        <v>159785</v>
      </c>
      <c r="Y103" s="33">
        <f t="shared" si="149"/>
        <v>20429</v>
      </c>
      <c r="Z103" s="33">
        <f t="shared" si="149"/>
        <v>0</v>
      </c>
      <c r="AA103" s="33">
        <f t="shared" si="149"/>
        <v>177214</v>
      </c>
      <c r="AB103" s="33">
        <f t="shared" si="149"/>
        <v>156785</v>
      </c>
      <c r="AC103" s="33">
        <f t="shared" si="149"/>
        <v>20429</v>
      </c>
      <c r="AD103" s="33">
        <f t="shared" si="149"/>
        <v>159785</v>
      </c>
      <c r="AE103" s="33">
        <f t="shared" si="149"/>
        <v>27000</v>
      </c>
      <c r="AF103" s="33">
        <f t="shared" si="149"/>
        <v>29085</v>
      </c>
      <c r="AG103" s="33">
        <f t="shared" si="149"/>
        <v>24916</v>
      </c>
      <c r="AH103" s="33">
        <f t="shared" si="149"/>
        <v>17784</v>
      </c>
      <c r="AI103" s="33">
        <f t="shared" si="149"/>
        <v>25000</v>
      </c>
      <c r="AJ103" s="33">
        <f t="shared" si="149"/>
        <v>36000</v>
      </c>
    </row>
    <row r="104" spans="1:37" ht="57.6" customHeight="1" x14ac:dyDescent="0.25">
      <c r="A104" s="5">
        <v>1</v>
      </c>
      <c r="B104" s="26" t="s">
        <v>110</v>
      </c>
      <c r="C104" s="22">
        <v>1</v>
      </c>
      <c r="D104" s="22">
        <v>25</v>
      </c>
      <c r="E104" s="22">
        <v>22</v>
      </c>
      <c r="F104" s="22"/>
      <c r="G104" s="9">
        <f t="shared" si="143"/>
        <v>36128</v>
      </c>
      <c r="H104" s="18">
        <v>30728</v>
      </c>
      <c r="I104" s="18"/>
      <c r="J104" s="18">
        <v>5400</v>
      </c>
      <c r="K104" s="18"/>
      <c r="L104" s="6">
        <v>2021</v>
      </c>
      <c r="M104" s="22">
        <v>1</v>
      </c>
      <c r="N104" s="22">
        <v>25</v>
      </c>
      <c r="O104" s="22">
        <v>23</v>
      </c>
      <c r="P104" s="13"/>
      <c r="Q104" s="13" t="s">
        <v>403</v>
      </c>
      <c r="R104" s="37">
        <f t="shared" si="144"/>
        <v>41975</v>
      </c>
      <c r="S104" s="72">
        <v>33397</v>
      </c>
      <c r="T104" s="72">
        <f>41975-33397</f>
        <v>8578</v>
      </c>
      <c r="U104" s="6">
        <v>2021</v>
      </c>
      <c r="V104" s="6">
        <v>2</v>
      </c>
      <c r="W104" s="10">
        <f t="shared" si="145"/>
        <v>36326</v>
      </c>
      <c r="X104" s="87">
        <v>33397</v>
      </c>
      <c r="Y104" s="85">
        <v>2929</v>
      </c>
      <c r="Z104" s="18"/>
      <c r="AA104" s="10">
        <f t="shared" si="146"/>
        <v>36326</v>
      </c>
      <c r="AB104" s="87">
        <v>33397</v>
      </c>
      <c r="AC104" s="85">
        <v>2929</v>
      </c>
      <c r="AD104" s="10">
        <f t="shared" si="148"/>
        <v>33397</v>
      </c>
      <c r="AE104" s="87">
        <v>15000</v>
      </c>
      <c r="AF104" s="87">
        <v>7797</v>
      </c>
      <c r="AG104" s="87">
        <v>4800</v>
      </c>
      <c r="AH104" s="87">
        <v>4800</v>
      </c>
      <c r="AI104" s="87">
        <v>1000</v>
      </c>
      <c r="AJ104" s="87">
        <v>0</v>
      </c>
    </row>
    <row r="105" spans="1:37" ht="56.25" x14ac:dyDescent="0.25">
      <c r="A105" s="5">
        <v>2</v>
      </c>
      <c r="B105" s="26" t="s">
        <v>111</v>
      </c>
      <c r="C105" s="22">
        <v>1</v>
      </c>
      <c r="D105" s="22">
        <v>20</v>
      </c>
      <c r="E105" s="22">
        <v>21</v>
      </c>
      <c r="F105" s="22"/>
      <c r="G105" s="9">
        <f t="shared" si="143"/>
        <v>26997</v>
      </c>
      <c r="H105" s="18">
        <v>26997</v>
      </c>
      <c r="I105" s="18"/>
      <c r="J105" s="18"/>
      <c r="K105" s="18"/>
      <c r="L105" s="6">
        <v>2021</v>
      </c>
      <c r="M105" s="22">
        <v>1</v>
      </c>
      <c r="N105" s="22">
        <v>20</v>
      </c>
      <c r="O105" s="22">
        <v>19</v>
      </c>
      <c r="P105" s="13"/>
      <c r="Q105" s="13" t="s">
        <v>404</v>
      </c>
      <c r="R105" s="37">
        <f t="shared" si="144"/>
        <v>31807</v>
      </c>
      <c r="S105" s="72">
        <v>23515</v>
      </c>
      <c r="T105" s="72">
        <f>31807-23515</f>
        <v>8292</v>
      </c>
      <c r="U105" s="6">
        <v>2021</v>
      </c>
      <c r="V105" s="6">
        <v>1</v>
      </c>
      <c r="W105" s="10">
        <f t="shared" si="145"/>
        <v>25515</v>
      </c>
      <c r="X105" s="87">
        <v>23515</v>
      </c>
      <c r="Y105" s="85">
        <v>2000</v>
      </c>
      <c r="Z105" s="18"/>
      <c r="AA105" s="10">
        <f t="shared" si="146"/>
        <v>25515</v>
      </c>
      <c r="AB105" s="87">
        <v>23515</v>
      </c>
      <c r="AC105" s="85">
        <v>2000</v>
      </c>
      <c r="AD105" s="10">
        <f t="shared" si="148"/>
        <v>23515</v>
      </c>
      <c r="AE105" s="87">
        <v>12000</v>
      </c>
      <c r="AF105" s="87">
        <v>8615</v>
      </c>
      <c r="AG105" s="87">
        <v>2900</v>
      </c>
      <c r="AH105" s="87">
        <v>0</v>
      </c>
      <c r="AI105" s="87">
        <v>0</v>
      </c>
      <c r="AJ105" s="87">
        <v>0</v>
      </c>
    </row>
    <row r="106" spans="1:37" ht="59.45" customHeight="1" x14ac:dyDescent="0.25">
      <c r="A106" s="5">
        <v>3</v>
      </c>
      <c r="B106" s="26" t="s">
        <v>112</v>
      </c>
      <c r="C106" s="22">
        <v>1</v>
      </c>
      <c r="D106" s="22">
        <v>6</v>
      </c>
      <c r="E106" s="22">
        <v>19</v>
      </c>
      <c r="F106" s="22"/>
      <c r="G106" s="9">
        <f t="shared" si="143"/>
        <v>16690</v>
      </c>
      <c r="H106" s="18"/>
      <c r="I106" s="18"/>
      <c r="J106" s="18"/>
      <c r="K106" s="18">
        <v>16690</v>
      </c>
      <c r="L106" s="6">
        <v>2022</v>
      </c>
      <c r="M106" s="22">
        <v>1</v>
      </c>
      <c r="N106" s="22">
        <v>10</v>
      </c>
      <c r="O106" s="22">
        <v>19</v>
      </c>
      <c r="P106" s="13"/>
      <c r="Q106" s="13" t="s">
        <v>405</v>
      </c>
      <c r="R106" s="37">
        <f t="shared" si="144"/>
        <v>26408</v>
      </c>
      <c r="S106" s="72">
        <v>20000</v>
      </c>
      <c r="T106" s="72">
        <f>26408-20000</f>
        <v>6408</v>
      </c>
      <c r="U106" s="6">
        <v>2022</v>
      </c>
      <c r="V106" s="6">
        <v>2</v>
      </c>
      <c r="W106" s="10">
        <f t="shared" si="145"/>
        <v>22500</v>
      </c>
      <c r="X106" s="87">
        <v>20000</v>
      </c>
      <c r="Y106" s="85">
        <v>2500</v>
      </c>
      <c r="Z106" s="18"/>
      <c r="AA106" s="10">
        <f t="shared" si="146"/>
        <v>22500</v>
      </c>
      <c r="AB106" s="87">
        <v>20000</v>
      </c>
      <c r="AC106" s="85">
        <v>2500</v>
      </c>
      <c r="AD106" s="10">
        <f t="shared" si="148"/>
        <v>20000</v>
      </c>
      <c r="AE106" s="87"/>
      <c r="AF106" s="87">
        <v>4000</v>
      </c>
      <c r="AG106" s="87">
        <v>9016</v>
      </c>
      <c r="AH106" s="87">
        <v>4984</v>
      </c>
      <c r="AI106" s="87">
        <v>2000</v>
      </c>
      <c r="AJ106" s="87">
        <v>0</v>
      </c>
    </row>
    <row r="107" spans="1:37" ht="64.150000000000006" customHeight="1" x14ac:dyDescent="0.25">
      <c r="A107" s="5">
        <v>4</v>
      </c>
      <c r="B107" s="26" t="s">
        <v>118</v>
      </c>
      <c r="C107" s="22">
        <v>1</v>
      </c>
      <c r="D107" s="22">
        <v>10</v>
      </c>
      <c r="E107" s="22">
        <v>11</v>
      </c>
      <c r="F107" s="22"/>
      <c r="G107" s="9">
        <f t="shared" si="143"/>
        <v>15104</v>
      </c>
      <c r="H107" s="18"/>
      <c r="I107" s="18"/>
      <c r="J107" s="18"/>
      <c r="K107" s="18">
        <v>15104</v>
      </c>
      <c r="L107" s="6">
        <v>2024</v>
      </c>
      <c r="M107" s="22">
        <v>1</v>
      </c>
      <c r="N107" s="22">
        <v>10</v>
      </c>
      <c r="O107" s="22">
        <v>10</v>
      </c>
      <c r="P107" s="13"/>
      <c r="Q107" s="88" t="s">
        <v>427</v>
      </c>
      <c r="R107" s="37">
        <f t="shared" si="144"/>
        <v>22554</v>
      </c>
      <c r="S107" s="85">
        <v>19800</v>
      </c>
      <c r="T107" s="85">
        <f>22554-19800</f>
        <v>2754</v>
      </c>
      <c r="U107" s="6">
        <v>2022</v>
      </c>
      <c r="V107" s="6">
        <v>1</v>
      </c>
      <c r="W107" s="10">
        <f t="shared" si="145"/>
        <v>21300</v>
      </c>
      <c r="X107" s="87">
        <v>19800</v>
      </c>
      <c r="Y107" s="85">
        <v>1500</v>
      </c>
      <c r="Z107" s="18"/>
      <c r="AA107" s="10">
        <f t="shared" si="146"/>
        <v>21300</v>
      </c>
      <c r="AB107" s="87">
        <v>19800</v>
      </c>
      <c r="AC107" s="85">
        <v>1500</v>
      </c>
      <c r="AD107" s="10">
        <f t="shared" si="148"/>
        <v>19800</v>
      </c>
      <c r="AE107" s="87"/>
      <c r="AF107" s="87">
        <v>2800</v>
      </c>
      <c r="AG107" s="87">
        <v>7000</v>
      </c>
      <c r="AH107" s="87">
        <v>8000</v>
      </c>
      <c r="AI107" s="87">
        <v>2000</v>
      </c>
      <c r="AJ107" s="87">
        <v>0</v>
      </c>
    </row>
    <row r="108" spans="1:37" ht="47.45" customHeight="1" x14ac:dyDescent="0.25">
      <c r="A108" s="5">
        <v>5</v>
      </c>
      <c r="B108" s="26" t="s">
        <v>119</v>
      </c>
      <c r="C108" s="22">
        <v>1</v>
      </c>
      <c r="D108" s="22">
        <v>4</v>
      </c>
      <c r="E108" s="22">
        <v>7</v>
      </c>
      <c r="F108" s="22"/>
      <c r="G108" s="9">
        <f t="shared" si="143"/>
        <v>7137</v>
      </c>
      <c r="H108" s="18"/>
      <c r="I108" s="18"/>
      <c r="J108" s="18"/>
      <c r="K108" s="18">
        <v>7137</v>
      </c>
      <c r="L108" s="6">
        <v>2025</v>
      </c>
      <c r="M108" s="22">
        <v>1</v>
      </c>
      <c r="N108" s="22">
        <v>4</v>
      </c>
      <c r="O108" s="22">
        <v>7</v>
      </c>
      <c r="P108" s="13"/>
      <c r="Q108" s="88" t="s">
        <v>425</v>
      </c>
      <c r="R108" s="37">
        <f t="shared" si="144"/>
        <v>11894</v>
      </c>
      <c r="S108" s="85">
        <v>7073</v>
      </c>
      <c r="T108" s="85">
        <f>11894-7073</f>
        <v>4821</v>
      </c>
      <c r="U108" s="6">
        <v>2022</v>
      </c>
      <c r="V108" s="6">
        <v>1</v>
      </c>
      <c r="W108" s="10">
        <f t="shared" si="145"/>
        <v>8573</v>
      </c>
      <c r="X108" s="87">
        <v>7073</v>
      </c>
      <c r="Y108" s="85">
        <v>1500</v>
      </c>
      <c r="Z108" s="18"/>
      <c r="AA108" s="10">
        <f t="shared" si="146"/>
        <v>8573</v>
      </c>
      <c r="AB108" s="87">
        <v>7073</v>
      </c>
      <c r="AC108" s="85">
        <v>1500</v>
      </c>
      <c r="AD108" s="10">
        <f t="shared" si="148"/>
        <v>7073</v>
      </c>
      <c r="AE108" s="87"/>
      <c r="AF108" s="87">
        <v>5873</v>
      </c>
      <c r="AG108" s="87">
        <v>1200</v>
      </c>
      <c r="AH108" s="87">
        <v>0</v>
      </c>
      <c r="AI108" s="87">
        <v>0</v>
      </c>
      <c r="AJ108" s="87">
        <v>0</v>
      </c>
    </row>
    <row r="109" spans="1:37" ht="41.45" customHeight="1" x14ac:dyDescent="0.25">
      <c r="A109" s="5">
        <v>6</v>
      </c>
      <c r="B109" s="26" t="s">
        <v>117</v>
      </c>
      <c r="C109" s="18">
        <v>1</v>
      </c>
      <c r="D109" s="18">
        <v>24</v>
      </c>
      <c r="E109" s="18">
        <v>19</v>
      </c>
      <c r="F109" s="18"/>
      <c r="G109" s="9">
        <f t="shared" si="143"/>
        <v>29641</v>
      </c>
      <c r="H109" s="18"/>
      <c r="I109" s="18"/>
      <c r="J109" s="18"/>
      <c r="K109" s="18">
        <v>29641</v>
      </c>
      <c r="L109" s="18"/>
      <c r="M109" s="18">
        <v>1</v>
      </c>
      <c r="N109" s="22">
        <v>25</v>
      </c>
      <c r="O109" s="22">
        <v>25</v>
      </c>
      <c r="P109" s="13"/>
      <c r="Q109" s="90" t="s">
        <v>431</v>
      </c>
      <c r="R109" s="37">
        <f t="shared" si="144"/>
        <v>49361</v>
      </c>
      <c r="S109" s="85">
        <v>46361</v>
      </c>
      <c r="T109" s="85">
        <v>3000</v>
      </c>
      <c r="U109" s="6">
        <v>2023</v>
      </c>
      <c r="V109" s="6">
        <v>2</v>
      </c>
      <c r="W109" s="10">
        <f t="shared" si="145"/>
        <v>35000</v>
      </c>
      <c r="X109" s="87">
        <v>30000</v>
      </c>
      <c r="Y109" s="85">
        <v>5000</v>
      </c>
      <c r="Z109" s="18"/>
      <c r="AA109" s="10">
        <f t="shared" si="146"/>
        <v>33000</v>
      </c>
      <c r="AB109" s="87">
        <v>28000</v>
      </c>
      <c r="AC109" s="85">
        <v>5000</v>
      </c>
      <c r="AD109" s="10">
        <f t="shared" si="148"/>
        <v>30000</v>
      </c>
      <c r="AE109" s="87"/>
      <c r="AF109" s="87"/>
      <c r="AG109" s="87"/>
      <c r="AH109" s="87"/>
      <c r="AI109" s="89">
        <v>10000</v>
      </c>
      <c r="AJ109" s="89">
        <v>20000</v>
      </c>
    </row>
    <row r="110" spans="1:37" ht="58.9" customHeight="1" x14ac:dyDescent="0.25">
      <c r="A110" s="5">
        <v>7</v>
      </c>
      <c r="B110" s="26" t="s">
        <v>113</v>
      </c>
      <c r="C110" s="18">
        <v>1</v>
      </c>
      <c r="D110" s="18">
        <v>6</v>
      </c>
      <c r="E110" s="18">
        <v>19</v>
      </c>
      <c r="F110" s="18"/>
      <c r="G110" s="9">
        <f t="shared" si="143"/>
        <v>16649</v>
      </c>
      <c r="H110" s="18">
        <v>16649</v>
      </c>
      <c r="I110" s="18"/>
      <c r="J110" s="18"/>
      <c r="K110" s="18"/>
      <c r="L110" s="18"/>
      <c r="M110" s="18">
        <v>1</v>
      </c>
      <c r="N110" s="22">
        <v>10</v>
      </c>
      <c r="O110" s="22">
        <v>18</v>
      </c>
      <c r="P110" s="13"/>
      <c r="Q110" s="88" t="s">
        <v>432</v>
      </c>
      <c r="R110" s="37">
        <f t="shared" si="144"/>
        <v>39488</v>
      </c>
      <c r="S110" s="91">
        <f>39488-3000</f>
        <v>36488</v>
      </c>
      <c r="T110" s="85">
        <v>3000</v>
      </c>
      <c r="U110" s="6">
        <v>2024</v>
      </c>
      <c r="V110" s="6">
        <v>1</v>
      </c>
      <c r="W110" s="10">
        <f t="shared" si="145"/>
        <v>31000</v>
      </c>
      <c r="X110" s="87">
        <v>26000</v>
      </c>
      <c r="Y110" s="85">
        <v>5000</v>
      </c>
      <c r="Z110" s="18"/>
      <c r="AA110" s="10">
        <f t="shared" si="146"/>
        <v>30000</v>
      </c>
      <c r="AB110" s="87">
        <v>25000</v>
      </c>
      <c r="AC110" s="85">
        <v>5000</v>
      </c>
      <c r="AD110" s="10">
        <f t="shared" si="148"/>
        <v>26000</v>
      </c>
      <c r="AE110" s="87"/>
      <c r="AF110" s="87"/>
      <c r="AG110" s="87"/>
      <c r="AH110" s="87"/>
      <c r="AI110" s="89">
        <v>10000</v>
      </c>
      <c r="AJ110" s="89">
        <v>16000</v>
      </c>
    </row>
    <row r="111" spans="1:37" ht="47.25" customHeight="1" x14ac:dyDescent="0.25">
      <c r="A111" s="5"/>
      <c r="B111" s="47" t="s">
        <v>64</v>
      </c>
      <c r="C111" s="33">
        <f>C112+C113+C114</f>
        <v>3</v>
      </c>
      <c r="D111" s="33">
        <f t="shared" ref="D111:AJ111" si="150">D112+D113+D114</f>
        <v>0</v>
      </c>
      <c r="E111" s="33">
        <f t="shared" si="150"/>
        <v>84</v>
      </c>
      <c r="F111" s="33">
        <f t="shared" si="150"/>
        <v>0</v>
      </c>
      <c r="G111" s="33">
        <f t="shared" si="150"/>
        <v>65799</v>
      </c>
      <c r="H111" s="33">
        <f t="shared" si="150"/>
        <v>65799</v>
      </c>
      <c r="I111" s="33">
        <f t="shared" si="150"/>
        <v>0</v>
      </c>
      <c r="J111" s="33">
        <f t="shared" si="150"/>
        <v>0</v>
      </c>
      <c r="K111" s="33">
        <f t="shared" si="150"/>
        <v>0</v>
      </c>
      <c r="L111" s="33"/>
      <c r="M111" s="33">
        <f t="shared" si="150"/>
        <v>3</v>
      </c>
      <c r="N111" s="33">
        <f t="shared" si="150"/>
        <v>5</v>
      </c>
      <c r="O111" s="33">
        <f t="shared" si="150"/>
        <v>86</v>
      </c>
      <c r="P111" s="33"/>
      <c r="Q111" s="33"/>
      <c r="R111" s="33">
        <f t="shared" si="150"/>
        <v>97470</v>
      </c>
      <c r="S111" s="33">
        <f t="shared" si="150"/>
        <v>74543</v>
      </c>
      <c r="T111" s="33">
        <f t="shared" si="150"/>
        <v>22927</v>
      </c>
      <c r="U111" s="33"/>
      <c r="V111" s="33"/>
      <c r="W111" s="33">
        <f t="shared" si="150"/>
        <v>82543</v>
      </c>
      <c r="X111" s="33">
        <f>X112+X113+X114</f>
        <v>74543</v>
      </c>
      <c r="Y111" s="33">
        <f t="shared" si="150"/>
        <v>8000</v>
      </c>
      <c r="Z111" s="33">
        <f t="shared" si="150"/>
        <v>0</v>
      </c>
      <c r="AA111" s="33">
        <f t="shared" si="150"/>
        <v>82543</v>
      </c>
      <c r="AB111" s="33">
        <f t="shared" si="150"/>
        <v>74543</v>
      </c>
      <c r="AC111" s="33">
        <f t="shared" si="150"/>
        <v>8000</v>
      </c>
      <c r="AD111" s="33">
        <f t="shared" si="150"/>
        <v>74543</v>
      </c>
      <c r="AE111" s="33">
        <f t="shared" si="150"/>
        <v>24000</v>
      </c>
      <c r="AF111" s="33">
        <f t="shared" si="150"/>
        <v>10543</v>
      </c>
      <c r="AG111" s="33">
        <f t="shared" si="150"/>
        <v>16000</v>
      </c>
      <c r="AH111" s="33">
        <f t="shared" si="150"/>
        <v>21000</v>
      </c>
      <c r="AI111" s="33">
        <f t="shared" si="150"/>
        <v>3000</v>
      </c>
      <c r="AJ111" s="33">
        <f t="shared" si="150"/>
        <v>0</v>
      </c>
    </row>
    <row r="112" spans="1:37" ht="51.6" customHeight="1" x14ac:dyDescent="0.25">
      <c r="A112" s="5">
        <v>1</v>
      </c>
      <c r="B112" s="26" t="s">
        <v>121</v>
      </c>
      <c r="C112" s="22">
        <v>1</v>
      </c>
      <c r="D112" s="22">
        <v>0</v>
      </c>
      <c r="E112" s="22">
        <v>31</v>
      </c>
      <c r="F112" s="22"/>
      <c r="G112" s="9">
        <f t="shared" si="143"/>
        <v>24271</v>
      </c>
      <c r="H112" s="9">
        <v>24271</v>
      </c>
      <c r="I112" s="18"/>
      <c r="J112" s="18"/>
      <c r="K112" s="18"/>
      <c r="L112" s="6">
        <v>2021</v>
      </c>
      <c r="M112" s="22">
        <v>1</v>
      </c>
      <c r="N112" s="22">
        <v>1</v>
      </c>
      <c r="O112" s="22">
        <v>31</v>
      </c>
      <c r="P112" s="13"/>
      <c r="Q112" s="13" t="s">
        <v>338</v>
      </c>
      <c r="R112" s="37">
        <f t="shared" si="144"/>
        <v>37654</v>
      </c>
      <c r="S112" s="72">
        <v>31291</v>
      </c>
      <c r="T112" s="72">
        <f>37654-31291</f>
        <v>6363</v>
      </c>
      <c r="U112" s="6">
        <v>2021</v>
      </c>
      <c r="V112" s="6">
        <v>2</v>
      </c>
      <c r="W112" s="10">
        <f t="shared" si="145"/>
        <v>33291</v>
      </c>
      <c r="X112" s="87">
        <v>31291</v>
      </c>
      <c r="Y112" s="85">
        <v>2000</v>
      </c>
      <c r="Z112" s="18"/>
      <c r="AA112" s="10">
        <f t="shared" si="146"/>
        <v>33291</v>
      </c>
      <c r="AB112" s="87">
        <v>31291</v>
      </c>
      <c r="AC112" s="85">
        <v>2000</v>
      </c>
      <c r="AD112" s="10">
        <f t="shared" si="148"/>
        <v>31291</v>
      </c>
      <c r="AE112" s="87">
        <v>13000</v>
      </c>
      <c r="AF112" s="87">
        <v>3291</v>
      </c>
      <c r="AG112" s="87">
        <v>4000</v>
      </c>
      <c r="AH112" s="87">
        <v>10000</v>
      </c>
      <c r="AI112" s="87">
        <v>1000</v>
      </c>
      <c r="AJ112" s="18"/>
    </row>
    <row r="113" spans="1:37" ht="40.9" customHeight="1" x14ac:dyDescent="0.25">
      <c r="A113" s="5">
        <v>2</v>
      </c>
      <c r="B113" s="26" t="s">
        <v>122</v>
      </c>
      <c r="C113" s="22">
        <v>1</v>
      </c>
      <c r="D113" s="22">
        <v>0</v>
      </c>
      <c r="E113" s="22">
        <v>31</v>
      </c>
      <c r="F113" s="22"/>
      <c r="G113" s="9">
        <f t="shared" si="143"/>
        <v>24271</v>
      </c>
      <c r="H113" s="9">
        <v>24271</v>
      </c>
      <c r="I113" s="18"/>
      <c r="J113" s="18"/>
      <c r="K113" s="18"/>
      <c r="L113" s="6">
        <v>2021</v>
      </c>
      <c r="M113" s="22">
        <v>1</v>
      </c>
      <c r="N113" s="22">
        <v>4</v>
      </c>
      <c r="O113" s="22">
        <v>32</v>
      </c>
      <c r="P113" s="13"/>
      <c r="Q113" s="13" t="s">
        <v>339</v>
      </c>
      <c r="R113" s="37">
        <f t="shared" si="144"/>
        <v>35544</v>
      </c>
      <c r="S113" s="72">
        <v>27852</v>
      </c>
      <c r="T113" s="72">
        <f>35544-27852</f>
        <v>7692</v>
      </c>
      <c r="U113" s="6">
        <v>2021</v>
      </c>
      <c r="V113" s="6">
        <v>2</v>
      </c>
      <c r="W113" s="10">
        <f t="shared" si="145"/>
        <v>30352</v>
      </c>
      <c r="X113" s="87">
        <v>27852</v>
      </c>
      <c r="Y113" s="85">
        <v>2500</v>
      </c>
      <c r="Z113" s="18"/>
      <c r="AA113" s="10">
        <f t="shared" si="146"/>
        <v>30352</v>
      </c>
      <c r="AB113" s="87">
        <v>27852</v>
      </c>
      <c r="AC113" s="85">
        <v>2500</v>
      </c>
      <c r="AD113" s="10">
        <f t="shared" si="148"/>
        <v>27852</v>
      </c>
      <c r="AE113" s="87">
        <v>11000</v>
      </c>
      <c r="AF113" s="87">
        <v>3852</v>
      </c>
      <c r="AG113" s="87">
        <v>6000</v>
      </c>
      <c r="AH113" s="87">
        <v>6000</v>
      </c>
      <c r="AI113" s="87">
        <v>1000</v>
      </c>
      <c r="AJ113" s="18"/>
    </row>
    <row r="114" spans="1:37" ht="44.45" customHeight="1" x14ac:dyDescent="0.25">
      <c r="A114" s="5">
        <v>3</v>
      </c>
      <c r="B114" s="26" t="s">
        <v>123</v>
      </c>
      <c r="C114" s="22">
        <v>1</v>
      </c>
      <c r="D114" s="22">
        <v>0</v>
      </c>
      <c r="E114" s="22">
        <v>22</v>
      </c>
      <c r="F114" s="22"/>
      <c r="G114" s="9">
        <f t="shared" si="143"/>
        <v>17257</v>
      </c>
      <c r="H114" s="9">
        <v>17257</v>
      </c>
      <c r="I114" s="18"/>
      <c r="J114" s="18"/>
      <c r="K114" s="18"/>
      <c r="L114" s="6">
        <v>2022</v>
      </c>
      <c r="M114" s="22">
        <v>1</v>
      </c>
      <c r="N114" s="22">
        <v>0</v>
      </c>
      <c r="O114" s="22">
        <v>23</v>
      </c>
      <c r="P114" s="13"/>
      <c r="Q114" s="88" t="s">
        <v>428</v>
      </c>
      <c r="R114" s="37">
        <f t="shared" si="144"/>
        <v>24272</v>
      </c>
      <c r="S114" s="85">
        <v>15400</v>
      </c>
      <c r="T114" s="85">
        <f>24272-15400</f>
        <v>8872</v>
      </c>
      <c r="U114" s="6">
        <v>2022</v>
      </c>
      <c r="V114" s="6">
        <v>1</v>
      </c>
      <c r="W114" s="10">
        <f t="shared" si="145"/>
        <v>18900</v>
      </c>
      <c r="X114" s="87">
        <v>15400</v>
      </c>
      <c r="Y114" s="85">
        <v>3500</v>
      </c>
      <c r="Z114" s="18"/>
      <c r="AA114" s="10">
        <f t="shared" si="146"/>
        <v>18900</v>
      </c>
      <c r="AB114" s="87">
        <v>15400</v>
      </c>
      <c r="AC114" s="85">
        <v>3500</v>
      </c>
      <c r="AD114" s="10">
        <f t="shared" si="148"/>
        <v>15400</v>
      </c>
      <c r="AE114" s="87"/>
      <c r="AF114" s="87">
        <v>3400</v>
      </c>
      <c r="AG114" s="87">
        <v>6000</v>
      </c>
      <c r="AH114" s="87">
        <v>5000</v>
      </c>
      <c r="AI114" s="87">
        <v>1000</v>
      </c>
      <c r="AJ114" s="18"/>
    </row>
    <row r="115" spans="1:37" ht="38.25" customHeight="1" x14ac:dyDescent="0.25">
      <c r="A115" s="11" t="s">
        <v>125</v>
      </c>
      <c r="B115" s="47" t="s">
        <v>273</v>
      </c>
      <c r="C115" s="49">
        <f>C116+C120+C127</f>
        <v>10</v>
      </c>
      <c r="D115" s="49">
        <f t="shared" ref="D115:AJ115" si="151">D116+D120+D127</f>
        <v>37</v>
      </c>
      <c r="E115" s="49">
        <f t="shared" si="151"/>
        <v>121</v>
      </c>
      <c r="F115" s="49">
        <f t="shared" si="151"/>
        <v>0</v>
      </c>
      <c r="G115" s="49">
        <f t="shared" si="151"/>
        <v>118436</v>
      </c>
      <c r="H115" s="49">
        <f t="shared" si="151"/>
        <v>82973</v>
      </c>
      <c r="I115" s="49">
        <f t="shared" si="151"/>
        <v>0</v>
      </c>
      <c r="J115" s="49">
        <f t="shared" si="151"/>
        <v>1200</v>
      </c>
      <c r="K115" s="49">
        <f t="shared" si="151"/>
        <v>34263</v>
      </c>
      <c r="L115" s="49">
        <f t="shared" si="151"/>
        <v>0</v>
      </c>
      <c r="M115" s="49">
        <f t="shared" si="151"/>
        <v>10</v>
      </c>
      <c r="N115" s="49">
        <f t="shared" si="151"/>
        <v>39</v>
      </c>
      <c r="O115" s="49">
        <f t="shared" si="151"/>
        <v>136</v>
      </c>
      <c r="P115" s="49"/>
      <c r="Q115" s="49">
        <f t="shared" si="151"/>
        <v>0</v>
      </c>
      <c r="R115" s="49">
        <f t="shared" si="151"/>
        <v>190599</v>
      </c>
      <c r="S115" s="49">
        <f t="shared" si="151"/>
        <v>168555</v>
      </c>
      <c r="T115" s="49">
        <f t="shared" si="151"/>
        <v>22044</v>
      </c>
      <c r="U115" s="49">
        <f t="shared" si="151"/>
        <v>0</v>
      </c>
      <c r="V115" s="49">
        <f t="shared" si="151"/>
        <v>7</v>
      </c>
      <c r="W115" s="49">
        <f t="shared" si="151"/>
        <v>177414.9</v>
      </c>
      <c r="X115" s="49">
        <f t="shared" si="151"/>
        <v>155773</v>
      </c>
      <c r="Y115" s="49">
        <f t="shared" si="151"/>
        <v>21641.9</v>
      </c>
      <c r="Z115" s="49">
        <f t="shared" si="151"/>
        <v>0</v>
      </c>
      <c r="AA115" s="49">
        <f t="shared" si="151"/>
        <v>177414.9</v>
      </c>
      <c r="AB115" s="49">
        <f t="shared" si="151"/>
        <v>155773</v>
      </c>
      <c r="AC115" s="49">
        <f t="shared" si="151"/>
        <v>21641.9</v>
      </c>
      <c r="AD115" s="49">
        <f t="shared" si="151"/>
        <v>155773</v>
      </c>
      <c r="AE115" s="49">
        <f t="shared" si="151"/>
        <v>48480</v>
      </c>
      <c r="AF115" s="49">
        <f t="shared" si="151"/>
        <v>49400</v>
      </c>
      <c r="AG115" s="49">
        <f t="shared" si="151"/>
        <v>19460</v>
      </c>
      <c r="AH115" s="49">
        <f t="shared" si="151"/>
        <v>34660</v>
      </c>
      <c r="AI115" s="49">
        <f t="shared" si="151"/>
        <v>3773</v>
      </c>
      <c r="AJ115" s="49">
        <f t="shared" si="151"/>
        <v>0</v>
      </c>
      <c r="AK115" s="3"/>
    </row>
    <row r="116" spans="1:37" ht="34.5" customHeight="1" x14ac:dyDescent="0.25">
      <c r="A116" s="5"/>
      <c r="B116" s="47" t="s">
        <v>29</v>
      </c>
      <c r="C116" s="33">
        <f>SUM(C117:C119)</f>
        <v>3</v>
      </c>
      <c r="D116" s="33">
        <f t="shared" ref="D116:AJ116" si="152">SUM(D117:D119)</f>
        <v>11</v>
      </c>
      <c r="E116" s="33">
        <f t="shared" si="152"/>
        <v>34</v>
      </c>
      <c r="F116" s="33">
        <f t="shared" si="152"/>
        <v>0</v>
      </c>
      <c r="G116" s="33">
        <f t="shared" si="152"/>
        <v>41769</v>
      </c>
      <c r="H116" s="33">
        <f t="shared" si="152"/>
        <v>21316</v>
      </c>
      <c r="I116" s="33">
        <f t="shared" si="152"/>
        <v>0</v>
      </c>
      <c r="J116" s="33">
        <f t="shared" si="152"/>
        <v>1200</v>
      </c>
      <c r="K116" s="33">
        <f t="shared" si="152"/>
        <v>19253</v>
      </c>
      <c r="L116" s="33"/>
      <c r="M116" s="33">
        <f t="shared" si="152"/>
        <v>3</v>
      </c>
      <c r="N116" s="33">
        <f t="shared" si="152"/>
        <v>11</v>
      </c>
      <c r="O116" s="33">
        <f t="shared" si="152"/>
        <v>25</v>
      </c>
      <c r="P116" s="33"/>
      <c r="Q116" s="33">
        <f t="shared" si="152"/>
        <v>0</v>
      </c>
      <c r="R116" s="33">
        <f t="shared" si="152"/>
        <v>41403</v>
      </c>
      <c r="S116" s="33">
        <f t="shared" si="152"/>
        <v>31218</v>
      </c>
      <c r="T116" s="33">
        <f t="shared" si="152"/>
        <v>10185</v>
      </c>
      <c r="U116" s="33"/>
      <c r="V116" s="33"/>
      <c r="W116" s="33">
        <f t="shared" si="152"/>
        <v>40241.771999999997</v>
      </c>
      <c r="X116" s="33">
        <f>SUM(X117:X119)</f>
        <v>30573</v>
      </c>
      <c r="Y116" s="33">
        <f t="shared" si="152"/>
        <v>9668.771999999999</v>
      </c>
      <c r="Z116" s="33">
        <f t="shared" si="152"/>
        <v>0</v>
      </c>
      <c r="AA116" s="33">
        <f t="shared" si="152"/>
        <v>40241.771999999997</v>
      </c>
      <c r="AB116" s="33">
        <f t="shared" si="152"/>
        <v>30573</v>
      </c>
      <c r="AC116" s="33">
        <f t="shared" si="152"/>
        <v>9668.771999999999</v>
      </c>
      <c r="AD116" s="33">
        <f t="shared" si="152"/>
        <v>30573</v>
      </c>
      <c r="AE116" s="33">
        <f t="shared" si="152"/>
        <v>12500</v>
      </c>
      <c r="AF116" s="33">
        <f t="shared" si="152"/>
        <v>10300</v>
      </c>
      <c r="AG116" s="33">
        <f t="shared" si="152"/>
        <v>4000</v>
      </c>
      <c r="AH116" s="33">
        <f t="shared" si="152"/>
        <v>0</v>
      </c>
      <c r="AI116" s="33">
        <f t="shared" si="152"/>
        <v>3773</v>
      </c>
      <c r="AJ116" s="33">
        <f t="shared" si="152"/>
        <v>0</v>
      </c>
    </row>
    <row r="117" spans="1:37" ht="63.6" customHeight="1" x14ac:dyDescent="0.25">
      <c r="A117" s="5">
        <v>1</v>
      </c>
      <c r="B117" s="5" t="s">
        <v>194</v>
      </c>
      <c r="C117" s="22">
        <v>1</v>
      </c>
      <c r="D117" s="4">
        <v>0</v>
      </c>
      <c r="E117" s="4">
        <v>8</v>
      </c>
      <c r="F117" s="4"/>
      <c r="G117" s="9">
        <f t="shared" ref="G117:G128" si="153">H117+I117+J117+K117</f>
        <v>5073</v>
      </c>
      <c r="H117" s="9">
        <v>5073</v>
      </c>
      <c r="I117" s="9"/>
      <c r="J117" s="9"/>
      <c r="K117" s="9"/>
      <c r="L117" s="7">
        <v>2021</v>
      </c>
      <c r="M117" s="4">
        <v>1</v>
      </c>
      <c r="N117" s="4">
        <v>0</v>
      </c>
      <c r="O117" s="4">
        <v>8</v>
      </c>
      <c r="P117" s="8"/>
      <c r="Q117" s="13" t="s">
        <v>340</v>
      </c>
      <c r="R117" s="37">
        <f t="shared" ref="R117:R128" si="154">S117+T117</f>
        <v>6809</v>
      </c>
      <c r="S117" s="80">
        <v>6298</v>
      </c>
      <c r="T117" s="80">
        <v>511</v>
      </c>
      <c r="U117" s="7">
        <v>2021</v>
      </c>
      <c r="V117" s="7">
        <v>1</v>
      </c>
      <c r="W117" s="10">
        <f t="shared" ref="W117:W128" si="155">X117+Y117+Z117</f>
        <v>6311.0720000000001</v>
      </c>
      <c r="X117" s="87">
        <v>5800</v>
      </c>
      <c r="Y117" s="85">
        <v>511.07200000000012</v>
      </c>
      <c r="Z117" s="9"/>
      <c r="AA117" s="10">
        <f t="shared" ref="AA117:AA126" si="156">AB117+AC117</f>
        <v>6311.0720000000001</v>
      </c>
      <c r="AB117" s="87">
        <v>5800</v>
      </c>
      <c r="AC117" s="85">
        <v>511.07200000000012</v>
      </c>
      <c r="AD117" s="10">
        <f t="shared" ref="AD117:AD128" si="157">AE117+AF117+AG117+AH117+AI117+AJ117</f>
        <v>5800</v>
      </c>
      <c r="AE117" s="81">
        <v>4200</v>
      </c>
      <c r="AF117" s="81">
        <v>1600</v>
      </c>
      <c r="AG117" s="81"/>
      <c r="AH117" s="87">
        <v>0</v>
      </c>
      <c r="AI117" s="87">
        <v>0</v>
      </c>
      <c r="AJ117" s="87">
        <v>0</v>
      </c>
    </row>
    <row r="118" spans="1:37" ht="52.9" customHeight="1" x14ac:dyDescent="0.25">
      <c r="A118" s="5">
        <v>2</v>
      </c>
      <c r="B118" s="5" t="s">
        <v>279</v>
      </c>
      <c r="C118" s="22">
        <v>1</v>
      </c>
      <c r="D118" s="4">
        <v>5</v>
      </c>
      <c r="E118" s="4">
        <v>12</v>
      </c>
      <c r="F118" s="4"/>
      <c r="G118" s="9">
        <f t="shared" si="153"/>
        <v>16243</v>
      </c>
      <c r="H118" s="9">
        <v>16243</v>
      </c>
      <c r="I118" s="9"/>
      <c r="J118" s="9"/>
      <c r="K118" s="9"/>
      <c r="L118" s="7">
        <v>2021</v>
      </c>
      <c r="M118" s="4">
        <v>1</v>
      </c>
      <c r="N118" s="4">
        <v>5</v>
      </c>
      <c r="O118" s="4">
        <v>13</v>
      </c>
      <c r="P118" s="8"/>
      <c r="Q118" s="13" t="s">
        <v>341</v>
      </c>
      <c r="R118" s="37">
        <f t="shared" si="154"/>
        <v>14526</v>
      </c>
      <c r="S118" s="37">
        <v>13448</v>
      </c>
      <c r="T118" s="37">
        <v>1078</v>
      </c>
      <c r="U118" s="7">
        <v>2021</v>
      </c>
      <c r="V118" s="7">
        <v>1</v>
      </c>
      <c r="W118" s="10">
        <f t="shared" si="155"/>
        <v>13861.951999999999</v>
      </c>
      <c r="X118" s="87">
        <v>13300</v>
      </c>
      <c r="Y118" s="85">
        <v>561.95199999999932</v>
      </c>
      <c r="Z118" s="9"/>
      <c r="AA118" s="10">
        <f t="shared" si="156"/>
        <v>13861.951999999999</v>
      </c>
      <c r="AB118" s="87">
        <v>13300</v>
      </c>
      <c r="AC118" s="85">
        <v>561.95199999999932</v>
      </c>
      <c r="AD118" s="10">
        <f t="shared" si="157"/>
        <v>13300</v>
      </c>
      <c r="AE118" s="81">
        <v>8300</v>
      </c>
      <c r="AF118" s="81">
        <v>5000</v>
      </c>
      <c r="AG118" s="81"/>
      <c r="AH118" s="87">
        <v>0</v>
      </c>
      <c r="AI118" s="87">
        <v>0</v>
      </c>
      <c r="AJ118" s="87">
        <v>0</v>
      </c>
    </row>
    <row r="119" spans="1:37" ht="89.45" customHeight="1" x14ac:dyDescent="0.25">
      <c r="A119" s="5">
        <v>3</v>
      </c>
      <c r="B119" s="5" t="s">
        <v>415</v>
      </c>
      <c r="C119" s="4">
        <v>1</v>
      </c>
      <c r="D119" s="4">
        <v>6</v>
      </c>
      <c r="E119" s="4">
        <v>14</v>
      </c>
      <c r="F119" s="4"/>
      <c r="G119" s="9">
        <f t="shared" si="153"/>
        <v>20453</v>
      </c>
      <c r="H119" s="9"/>
      <c r="I119" s="9"/>
      <c r="J119" s="9">
        <v>1200</v>
      </c>
      <c r="K119" s="9">
        <v>19253</v>
      </c>
      <c r="L119" s="7">
        <v>2024</v>
      </c>
      <c r="M119" s="4">
        <v>1</v>
      </c>
      <c r="N119" s="4">
        <v>6</v>
      </c>
      <c r="O119" s="4">
        <v>4</v>
      </c>
      <c r="P119" s="8"/>
      <c r="Q119" s="13" t="s">
        <v>342</v>
      </c>
      <c r="R119" s="37">
        <f t="shared" si="154"/>
        <v>20068</v>
      </c>
      <c r="S119" s="37">
        <v>11472</v>
      </c>
      <c r="T119" s="37">
        <v>8596</v>
      </c>
      <c r="U119" s="7">
        <v>2022</v>
      </c>
      <c r="V119" s="7">
        <v>2</v>
      </c>
      <c r="W119" s="10">
        <f t="shared" si="155"/>
        <v>20068.748</v>
      </c>
      <c r="X119" s="87">
        <v>11473</v>
      </c>
      <c r="Y119" s="85">
        <v>8595.7479999999996</v>
      </c>
      <c r="Z119" s="9"/>
      <c r="AA119" s="10">
        <f t="shared" si="156"/>
        <v>20068.748</v>
      </c>
      <c r="AB119" s="87">
        <v>11473</v>
      </c>
      <c r="AC119" s="85">
        <v>8595.7479999999996</v>
      </c>
      <c r="AD119" s="10">
        <f t="shared" si="157"/>
        <v>11473</v>
      </c>
      <c r="AE119" s="81"/>
      <c r="AF119" s="81">
        <v>3700</v>
      </c>
      <c r="AG119" s="81">
        <v>4000</v>
      </c>
      <c r="AH119" s="87">
        <v>0</v>
      </c>
      <c r="AI119" s="87">
        <v>3773</v>
      </c>
      <c r="AJ119" s="87">
        <v>0</v>
      </c>
    </row>
    <row r="120" spans="1:37" ht="39" customHeight="1" x14ac:dyDescent="0.25">
      <c r="A120" s="5"/>
      <c r="B120" s="47" t="s">
        <v>37</v>
      </c>
      <c r="C120" s="33">
        <f>SUM(C121:C126)</f>
        <v>6</v>
      </c>
      <c r="D120" s="33">
        <f t="shared" ref="D120:AJ120" si="158">SUM(D121:D126)</f>
        <v>22</v>
      </c>
      <c r="E120" s="33">
        <f t="shared" si="158"/>
        <v>67</v>
      </c>
      <c r="F120" s="33">
        <f t="shared" si="158"/>
        <v>0</v>
      </c>
      <c r="G120" s="33">
        <f t="shared" si="158"/>
        <v>58285</v>
      </c>
      <c r="H120" s="33">
        <f t="shared" si="158"/>
        <v>43275</v>
      </c>
      <c r="I120" s="33">
        <f t="shared" si="158"/>
        <v>0</v>
      </c>
      <c r="J120" s="33">
        <f t="shared" si="158"/>
        <v>0</v>
      </c>
      <c r="K120" s="33">
        <f t="shared" si="158"/>
        <v>15010</v>
      </c>
      <c r="L120" s="33"/>
      <c r="M120" s="33">
        <f t="shared" si="158"/>
        <v>6</v>
      </c>
      <c r="N120" s="33">
        <f t="shared" si="158"/>
        <v>24</v>
      </c>
      <c r="O120" s="33">
        <f t="shared" si="158"/>
        <v>85</v>
      </c>
      <c r="P120" s="33"/>
      <c r="Q120" s="33">
        <f t="shared" si="158"/>
        <v>0</v>
      </c>
      <c r="R120" s="33">
        <f t="shared" si="158"/>
        <v>112029</v>
      </c>
      <c r="S120" s="33">
        <f t="shared" si="158"/>
        <v>103797</v>
      </c>
      <c r="T120" s="33">
        <f t="shared" si="158"/>
        <v>8232</v>
      </c>
      <c r="U120" s="33"/>
      <c r="V120" s="33">
        <f t="shared" si="158"/>
        <v>7</v>
      </c>
      <c r="W120" s="33">
        <f t="shared" si="158"/>
        <v>100376.128</v>
      </c>
      <c r="X120" s="33">
        <f>SUM(X121:X126)</f>
        <v>92030</v>
      </c>
      <c r="Y120" s="33">
        <f t="shared" si="158"/>
        <v>8346.1280000000006</v>
      </c>
      <c r="Z120" s="33">
        <f t="shared" si="158"/>
        <v>0</v>
      </c>
      <c r="AA120" s="33">
        <f t="shared" si="158"/>
        <v>100376.128</v>
      </c>
      <c r="AB120" s="33">
        <f t="shared" si="158"/>
        <v>92030</v>
      </c>
      <c r="AC120" s="33">
        <f t="shared" si="158"/>
        <v>8346.1280000000006</v>
      </c>
      <c r="AD120" s="33">
        <f t="shared" si="158"/>
        <v>92030</v>
      </c>
      <c r="AE120" s="33">
        <f t="shared" si="158"/>
        <v>35980</v>
      </c>
      <c r="AF120" s="33">
        <f t="shared" si="158"/>
        <v>30300</v>
      </c>
      <c r="AG120" s="33">
        <f t="shared" si="158"/>
        <v>5960</v>
      </c>
      <c r="AH120" s="33">
        <f t="shared" si="158"/>
        <v>19790</v>
      </c>
      <c r="AI120" s="33">
        <f t="shared" si="158"/>
        <v>0</v>
      </c>
      <c r="AJ120" s="33">
        <f t="shared" si="158"/>
        <v>0</v>
      </c>
    </row>
    <row r="121" spans="1:37" ht="72" customHeight="1" x14ac:dyDescent="0.25">
      <c r="A121" s="5">
        <v>1</v>
      </c>
      <c r="B121" s="5" t="s">
        <v>201</v>
      </c>
      <c r="C121" s="22">
        <v>1</v>
      </c>
      <c r="D121" s="4">
        <v>0</v>
      </c>
      <c r="E121" s="4">
        <v>12</v>
      </c>
      <c r="F121" s="4"/>
      <c r="G121" s="9">
        <f t="shared" si="153"/>
        <v>7857</v>
      </c>
      <c r="H121" s="9">
        <v>7857</v>
      </c>
      <c r="I121" s="9"/>
      <c r="J121" s="9"/>
      <c r="K121" s="9"/>
      <c r="L121" s="7">
        <v>2021</v>
      </c>
      <c r="M121" s="4">
        <v>1</v>
      </c>
      <c r="N121" s="4">
        <v>0</v>
      </c>
      <c r="O121" s="4">
        <v>18</v>
      </c>
      <c r="P121" s="8"/>
      <c r="Q121" s="92" t="s">
        <v>343</v>
      </c>
      <c r="R121" s="37">
        <f t="shared" si="154"/>
        <v>14043</v>
      </c>
      <c r="S121" s="93">
        <v>13650</v>
      </c>
      <c r="T121" s="93">
        <v>393</v>
      </c>
      <c r="U121" s="7">
        <v>2021</v>
      </c>
      <c r="V121" s="7">
        <v>1</v>
      </c>
      <c r="W121" s="10">
        <f t="shared" si="155"/>
        <v>13308.335999999999</v>
      </c>
      <c r="X121" s="87">
        <v>12800</v>
      </c>
      <c r="Y121" s="85">
        <v>508.33599999999933</v>
      </c>
      <c r="Z121" s="9"/>
      <c r="AA121" s="10">
        <f t="shared" si="156"/>
        <v>13308.335999999999</v>
      </c>
      <c r="AB121" s="87">
        <v>12800</v>
      </c>
      <c r="AC121" s="85">
        <v>508.33599999999933</v>
      </c>
      <c r="AD121" s="10">
        <f t="shared" si="157"/>
        <v>12800</v>
      </c>
      <c r="AE121" s="81">
        <v>7800</v>
      </c>
      <c r="AF121" s="81">
        <v>5000</v>
      </c>
      <c r="AG121" s="81"/>
      <c r="AH121" s="87">
        <v>0</v>
      </c>
      <c r="AI121" s="87">
        <v>0</v>
      </c>
      <c r="AJ121" s="87">
        <v>0</v>
      </c>
    </row>
    <row r="122" spans="1:37" ht="45" x14ac:dyDescent="0.25">
      <c r="A122" s="5">
        <v>2</v>
      </c>
      <c r="B122" s="5" t="s">
        <v>202</v>
      </c>
      <c r="C122" s="22">
        <v>1</v>
      </c>
      <c r="D122" s="4">
        <v>3</v>
      </c>
      <c r="E122" s="4">
        <v>13</v>
      </c>
      <c r="F122" s="4"/>
      <c r="G122" s="9">
        <f t="shared" si="153"/>
        <v>10332</v>
      </c>
      <c r="H122" s="9">
        <v>10332</v>
      </c>
      <c r="I122" s="9"/>
      <c r="J122" s="9"/>
      <c r="K122" s="9"/>
      <c r="L122" s="7">
        <v>2021</v>
      </c>
      <c r="M122" s="4">
        <v>1</v>
      </c>
      <c r="N122" s="4">
        <v>3</v>
      </c>
      <c r="O122" s="4">
        <v>11</v>
      </c>
      <c r="P122" s="8"/>
      <c r="Q122" s="92" t="s">
        <v>344</v>
      </c>
      <c r="R122" s="37">
        <f t="shared" si="154"/>
        <v>11469</v>
      </c>
      <c r="S122" s="81">
        <v>10746</v>
      </c>
      <c r="T122" s="81">
        <v>723</v>
      </c>
      <c r="U122" s="7">
        <v>2021</v>
      </c>
      <c r="V122" s="7">
        <v>1</v>
      </c>
      <c r="W122" s="10">
        <f t="shared" si="155"/>
        <v>10922.763999999999</v>
      </c>
      <c r="X122" s="87">
        <v>10200</v>
      </c>
      <c r="Y122" s="85">
        <v>722.76399999999921</v>
      </c>
      <c r="Z122" s="9"/>
      <c r="AA122" s="10">
        <f t="shared" si="156"/>
        <v>10922.763999999999</v>
      </c>
      <c r="AB122" s="87">
        <v>10200</v>
      </c>
      <c r="AC122" s="85">
        <v>722.76399999999921</v>
      </c>
      <c r="AD122" s="10">
        <f t="shared" si="157"/>
        <v>10200</v>
      </c>
      <c r="AE122" s="81">
        <v>6600</v>
      </c>
      <c r="AF122" s="81">
        <v>3600</v>
      </c>
      <c r="AG122" s="81"/>
      <c r="AH122" s="87">
        <v>0</v>
      </c>
      <c r="AI122" s="87">
        <v>0</v>
      </c>
      <c r="AJ122" s="87">
        <v>0</v>
      </c>
    </row>
    <row r="123" spans="1:37" ht="120" customHeight="1" x14ac:dyDescent="0.25">
      <c r="A123" s="5">
        <v>3</v>
      </c>
      <c r="B123" s="5" t="s">
        <v>288</v>
      </c>
      <c r="C123" s="22">
        <v>1</v>
      </c>
      <c r="D123" s="4">
        <v>14</v>
      </c>
      <c r="E123" s="4">
        <v>15</v>
      </c>
      <c r="F123" s="4"/>
      <c r="G123" s="9">
        <f t="shared" si="153"/>
        <v>19668</v>
      </c>
      <c r="H123" s="9">
        <v>19668</v>
      </c>
      <c r="I123" s="9"/>
      <c r="J123" s="9"/>
      <c r="K123" s="9"/>
      <c r="L123" s="7">
        <v>2021</v>
      </c>
      <c r="M123" s="4">
        <v>1</v>
      </c>
      <c r="N123" s="4">
        <v>16</v>
      </c>
      <c r="O123" s="4">
        <v>18</v>
      </c>
      <c r="P123" s="8"/>
      <c r="Q123" s="92" t="s">
        <v>345</v>
      </c>
      <c r="R123" s="37">
        <f t="shared" si="154"/>
        <v>38268</v>
      </c>
      <c r="S123" s="81">
        <v>34835</v>
      </c>
      <c r="T123" s="81">
        <v>3433</v>
      </c>
      <c r="U123" s="7">
        <v>2021</v>
      </c>
      <c r="V123" s="7">
        <v>2</v>
      </c>
      <c r="W123" s="10">
        <f t="shared" si="155"/>
        <v>31532.868000000002</v>
      </c>
      <c r="X123" s="87">
        <v>28100</v>
      </c>
      <c r="Y123" s="85">
        <v>3432.8680000000022</v>
      </c>
      <c r="Z123" s="9"/>
      <c r="AA123" s="10">
        <f t="shared" si="156"/>
        <v>31532.868000000002</v>
      </c>
      <c r="AB123" s="87">
        <v>28100</v>
      </c>
      <c r="AC123" s="85">
        <v>3432.8680000000022</v>
      </c>
      <c r="AD123" s="10">
        <f t="shared" si="157"/>
        <v>28100</v>
      </c>
      <c r="AE123" s="81">
        <v>12840</v>
      </c>
      <c r="AF123" s="81">
        <v>5500</v>
      </c>
      <c r="AG123" s="81">
        <v>1260</v>
      </c>
      <c r="AH123" s="87">
        <v>8500</v>
      </c>
      <c r="AI123" s="87">
        <v>0</v>
      </c>
      <c r="AJ123" s="87">
        <v>0</v>
      </c>
    </row>
    <row r="124" spans="1:37" ht="45" x14ac:dyDescent="0.25">
      <c r="A124" s="5">
        <v>4</v>
      </c>
      <c r="B124" s="5" t="s">
        <v>204</v>
      </c>
      <c r="C124" s="22">
        <v>1</v>
      </c>
      <c r="D124" s="4">
        <v>0</v>
      </c>
      <c r="E124" s="4">
        <v>9</v>
      </c>
      <c r="F124" s="4"/>
      <c r="G124" s="9">
        <f t="shared" si="153"/>
        <v>5418</v>
      </c>
      <c r="H124" s="9">
        <v>5418</v>
      </c>
      <c r="I124" s="9"/>
      <c r="J124" s="9"/>
      <c r="K124" s="9"/>
      <c r="L124" s="7">
        <v>2021</v>
      </c>
      <c r="M124" s="4">
        <v>1</v>
      </c>
      <c r="N124" s="4">
        <v>0</v>
      </c>
      <c r="O124" s="4">
        <v>17</v>
      </c>
      <c r="P124" s="8"/>
      <c r="Q124" s="92" t="s">
        <v>346</v>
      </c>
      <c r="R124" s="37">
        <f t="shared" si="154"/>
        <v>20717</v>
      </c>
      <c r="S124" s="81">
        <v>17754</v>
      </c>
      <c r="T124" s="81">
        <v>2963</v>
      </c>
      <c r="U124" s="7">
        <v>2021</v>
      </c>
      <c r="V124" s="7">
        <v>1</v>
      </c>
      <c r="W124" s="10">
        <f t="shared" si="155"/>
        <v>17702.887999999999</v>
      </c>
      <c r="X124" s="87">
        <v>14740</v>
      </c>
      <c r="Y124" s="85">
        <v>2962.887999999999</v>
      </c>
      <c r="Z124" s="9"/>
      <c r="AA124" s="10">
        <f t="shared" si="156"/>
        <v>17702.887999999999</v>
      </c>
      <c r="AB124" s="87">
        <v>14740</v>
      </c>
      <c r="AC124" s="85">
        <v>2962.887999999999</v>
      </c>
      <c r="AD124" s="10">
        <f t="shared" si="157"/>
        <v>14740</v>
      </c>
      <c r="AE124" s="81">
        <v>8740</v>
      </c>
      <c r="AF124" s="81">
        <v>6000</v>
      </c>
      <c r="AG124" s="81"/>
      <c r="AH124" s="87">
        <v>0</v>
      </c>
      <c r="AI124" s="87">
        <v>0</v>
      </c>
      <c r="AJ124" s="87">
        <v>0</v>
      </c>
    </row>
    <row r="125" spans="1:37" ht="45" x14ac:dyDescent="0.25">
      <c r="A125" s="5">
        <v>5</v>
      </c>
      <c r="B125" s="5" t="s">
        <v>206</v>
      </c>
      <c r="C125" s="22">
        <v>1</v>
      </c>
      <c r="D125" s="4">
        <v>0</v>
      </c>
      <c r="E125" s="4">
        <v>15</v>
      </c>
      <c r="F125" s="4"/>
      <c r="G125" s="9">
        <f t="shared" si="153"/>
        <v>9849</v>
      </c>
      <c r="H125" s="9">
        <v>0</v>
      </c>
      <c r="I125" s="9"/>
      <c r="J125" s="9"/>
      <c r="K125" s="9">
        <v>9849</v>
      </c>
      <c r="L125" s="7">
        <v>2024</v>
      </c>
      <c r="M125" s="4">
        <v>1</v>
      </c>
      <c r="N125" s="4">
        <v>0</v>
      </c>
      <c r="O125" s="4">
        <v>15</v>
      </c>
      <c r="P125" s="8"/>
      <c r="Q125" s="92" t="s">
        <v>347</v>
      </c>
      <c r="R125" s="37">
        <f t="shared" si="154"/>
        <v>14992</v>
      </c>
      <c r="S125" s="9">
        <v>14521</v>
      </c>
      <c r="T125" s="9">
        <v>471</v>
      </c>
      <c r="U125" s="7">
        <v>2022</v>
      </c>
      <c r="V125" s="7">
        <v>1</v>
      </c>
      <c r="W125" s="10">
        <f t="shared" si="155"/>
        <v>14370.62</v>
      </c>
      <c r="X125" s="87">
        <v>13900</v>
      </c>
      <c r="Y125" s="85">
        <v>470.6200000000008</v>
      </c>
      <c r="Z125" s="9"/>
      <c r="AA125" s="10">
        <f t="shared" si="156"/>
        <v>14370.62</v>
      </c>
      <c r="AB125" s="87">
        <v>13900</v>
      </c>
      <c r="AC125" s="85">
        <v>470.6200000000008</v>
      </c>
      <c r="AD125" s="10">
        <f t="shared" si="157"/>
        <v>13900</v>
      </c>
      <c r="AE125" s="81"/>
      <c r="AF125" s="81">
        <v>6200</v>
      </c>
      <c r="AG125" s="81">
        <v>3600</v>
      </c>
      <c r="AH125" s="87">
        <v>4100</v>
      </c>
      <c r="AI125" s="87">
        <v>0</v>
      </c>
      <c r="AJ125" s="87">
        <v>0</v>
      </c>
    </row>
    <row r="126" spans="1:37" ht="45" x14ac:dyDescent="0.25">
      <c r="A126" s="5">
        <v>6</v>
      </c>
      <c r="B126" s="5" t="s">
        <v>207</v>
      </c>
      <c r="C126" s="22">
        <v>1</v>
      </c>
      <c r="D126" s="4">
        <v>5</v>
      </c>
      <c r="E126" s="4">
        <v>3</v>
      </c>
      <c r="F126" s="4"/>
      <c r="G126" s="9">
        <f t="shared" si="153"/>
        <v>5161</v>
      </c>
      <c r="H126" s="9">
        <v>0</v>
      </c>
      <c r="I126" s="9"/>
      <c r="J126" s="9"/>
      <c r="K126" s="9">
        <v>5161</v>
      </c>
      <c r="L126" s="7">
        <v>2024</v>
      </c>
      <c r="M126" s="4">
        <v>1</v>
      </c>
      <c r="N126" s="4">
        <v>5</v>
      </c>
      <c r="O126" s="4">
        <v>6</v>
      </c>
      <c r="P126" s="8"/>
      <c r="Q126" s="92" t="s">
        <v>348</v>
      </c>
      <c r="R126" s="37">
        <f t="shared" si="154"/>
        <v>12540</v>
      </c>
      <c r="S126" s="93">
        <v>12291</v>
      </c>
      <c r="T126" s="93">
        <v>249</v>
      </c>
      <c r="U126" s="7">
        <v>2022</v>
      </c>
      <c r="V126" s="7">
        <v>1</v>
      </c>
      <c r="W126" s="10">
        <f t="shared" si="155"/>
        <v>12538.652</v>
      </c>
      <c r="X126" s="87">
        <v>12290</v>
      </c>
      <c r="Y126" s="85">
        <v>248.65200000000004</v>
      </c>
      <c r="Z126" s="9"/>
      <c r="AA126" s="10">
        <f t="shared" si="156"/>
        <v>12538.652</v>
      </c>
      <c r="AB126" s="87">
        <v>12290</v>
      </c>
      <c r="AC126" s="85">
        <v>248.65200000000004</v>
      </c>
      <c r="AD126" s="10">
        <f t="shared" si="157"/>
        <v>12290</v>
      </c>
      <c r="AE126" s="81"/>
      <c r="AF126" s="81">
        <v>4000</v>
      </c>
      <c r="AG126" s="81">
        <v>1100</v>
      </c>
      <c r="AH126" s="87">
        <v>7190</v>
      </c>
      <c r="AI126" s="87">
        <v>0</v>
      </c>
      <c r="AJ126" s="87">
        <v>0</v>
      </c>
    </row>
    <row r="127" spans="1:37" ht="36.75" customHeight="1" x14ac:dyDescent="0.25">
      <c r="A127" s="5"/>
      <c r="B127" s="47" t="s">
        <v>64</v>
      </c>
      <c r="C127" s="33">
        <f>C128</f>
        <v>1</v>
      </c>
      <c r="D127" s="33">
        <f t="shared" ref="D127:AJ127" si="159">D128</f>
        <v>4</v>
      </c>
      <c r="E127" s="33">
        <f t="shared" si="159"/>
        <v>20</v>
      </c>
      <c r="F127" s="33">
        <f t="shared" si="159"/>
        <v>0</v>
      </c>
      <c r="G127" s="33">
        <f t="shared" si="159"/>
        <v>18382</v>
      </c>
      <c r="H127" s="33">
        <f t="shared" si="159"/>
        <v>18382</v>
      </c>
      <c r="I127" s="33">
        <f t="shared" si="159"/>
        <v>0</v>
      </c>
      <c r="J127" s="33">
        <f t="shared" si="159"/>
        <v>0</v>
      </c>
      <c r="K127" s="33">
        <f t="shared" si="159"/>
        <v>0</v>
      </c>
      <c r="L127" s="33"/>
      <c r="M127" s="33">
        <f t="shared" si="159"/>
        <v>1</v>
      </c>
      <c r="N127" s="33">
        <f t="shared" si="159"/>
        <v>4</v>
      </c>
      <c r="O127" s="33">
        <f t="shared" si="159"/>
        <v>26</v>
      </c>
      <c r="P127" s="33"/>
      <c r="Q127" s="33"/>
      <c r="R127" s="33">
        <f t="shared" si="159"/>
        <v>37167</v>
      </c>
      <c r="S127" s="33">
        <f t="shared" si="159"/>
        <v>33540</v>
      </c>
      <c r="T127" s="33">
        <f t="shared" si="159"/>
        <v>3627</v>
      </c>
      <c r="U127" s="33"/>
      <c r="V127" s="33"/>
      <c r="W127" s="33">
        <f t="shared" si="159"/>
        <v>36797</v>
      </c>
      <c r="X127" s="33">
        <f t="shared" si="159"/>
        <v>33170</v>
      </c>
      <c r="Y127" s="33">
        <f t="shared" si="159"/>
        <v>3627</v>
      </c>
      <c r="Z127" s="33">
        <f t="shared" si="159"/>
        <v>0</v>
      </c>
      <c r="AA127" s="33">
        <f t="shared" si="159"/>
        <v>36797</v>
      </c>
      <c r="AB127" s="33">
        <f t="shared" si="159"/>
        <v>33170</v>
      </c>
      <c r="AC127" s="33">
        <f t="shared" si="159"/>
        <v>3627</v>
      </c>
      <c r="AD127" s="33">
        <f t="shared" si="159"/>
        <v>33170</v>
      </c>
      <c r="AE127" s="33">
        <f t="shared" si="159"/>
        <v>0</v>
      </c>
      <c r="AF127" s="33">
        <f t="shared" si="159"/>
        <v>8800</v>
      </c>
      <c r="AG127" s="33">
        <f t="shared" si="159"/>
        <v>9500</v>
      </c>
      <c r="AH127" s="33">
        <f t="shared" si="159"/>
        <v>14870</v>
      </c>
      <c r="AI127" s="33">
        <f t="shared" si="159"/>
        <v>0</v>
      </c>
      <c r="AJ127" s="33">
        <f t="shared" si="159"/>
        <v>0</v>
      </c>
    </row>
    <row r="128" spans="1:37" ht="61.15" customHeight="1" x14ac:dyDescent="0.25">
      <c r="A128" s="5">
        <v>1</v>
      </c>
      <c r="B128" s="5" t="s">
        <v>208</v>
      </c>
      <c r="C128" s="22">
        <v>1</v>
      </c>
      <c r="D128" s="4">
        <v>4</v>
      </c>
      <c r="E128" s="4">
        <v>20</v>
      </c>
      <c r="F128" s="4"/>
      <c r="G128" s="9">
        <f t="shared" si="153"/>
        <v>18382</v>
      </c>
      <c r="H128" s="9">
        <v>18382</v>
      </c>
      <c r="I128" s="9"/>
      <c r="J128" s="9"/>
      <c r="K128" s="9"/>
      <c r="L128" s="7">
        <v>2022</v>
      </c>
      <c r="M128" s="4">
        <v>1</v>
      </c>
      <c r="N128" s="4">
        <v>4</v>
      </c>
      <c r="O128" s="4">
        <v>26</v>
      </c>
      <c r="P128" s="8"/>
      <c r="Q128" s="92" t="s">
        <v>386</v>
      </c>
      <c r="R128" s="37">
        <f t="shared" si="154"/>
        <v>37167</v>
      </c>
      <c r="S128" s="9">
        <v>33540</v>
      </c>
      <c r="T128" s="9">
        <v>3627</v>
      </c>
      <c r="U128" s="7">
        <v>2022</v>
      </c>
      <c r="V128" s="7">
        <v>2</v>
      </c>
      <c r="W128" s="10">
        <f t="shared" si="155"/>
        <v>36797</v>
      </c>
      <c r="X128" s="9">
        <v>33170</v>
      </c>
      <c r="Y128" s="9">
        <f>T128</f>
        <v>3627</v>
      </c>
      <c r="Z128" s="9"/>
      <c r="AA128" s="10">
        <f>AB128+AC128</f>
        <v>36797</v>
      </c>
      <c r="AB128" s="10">
        <f>X128</f>
        <v>33170</v>
      </c>
      <c r="AC128" s="10">
        <f>Y128</f>
        <v>3627</v>
      </c>
      <c r="AD128" s="10">
        <f t="shared" si="157"/>
        <v>33170</v>
      </c>
      <c r="AE128" s="10"/>
      <c r="AF128" s="10">
        <v>8800</v>
      </c>
      <c r="AG128" s="10">
        <v>9500</v>
      </c>
      <c r="AH128" s="10">
        <v>14870</v>
      </c>
      <c r="AI128" s="10"/>
      <c r="AJ128" s="10"/>
    </row>
    <row r="129" spans="1:37" ht="42.75" customHeight="1" x14ac:dyDescent="0.25">
      <c r="A129" s="11" t="s">
        <v>126</v>
      </c>
      <c r="B129" s="47" t="s">
        <v>127</v>
      </c>
      <c r="C129" s="49">
        <f>C130+C150+C172</f>
        <v>18</v>
      </c>
      <c r="D129" s="49">
        <f t="shared" ref="D129:AJ129" si="160">D130+D150+D172</f>
        <v>125</v>
      </c>
      <c r="E129" s="49">
        <f t="shared" si="160"/>
        <v>167</v>
      </c>
      <c r="F129" s="49">
        <f t="shared" si="160"/>
        <v>0</v>
      </c>
      <c r="G129" s="49">
        <f t="shared" si="160"/>
        <v>270457</v>
      </c>
      <c r="H129" s="49">
        <f t="shared" si="160"/>
        <v>164050</v>
      </c>
      <c r="I129" s="49">
        <f t="shared" si="160"/>
        <v>0</v>
      </c>
      <c r="J129" s="49">
        <f t="shared" si="160"/>
        <v>0</v>
      </c>
      <c r="K129" s="49">
        <f t="shared" si="160"/>
        <v>106407</v>
      </c>
      <c r="L129" s="49">
        <f t="shared" si="160"/>
        <v>0</v>
      </c>
      <c r="M129" s="49">
        <f t="shared" si="160"/>
        <v>21</v>
      </c>
      <c r="N129" s="49">
        <f t="shared" si="160"/>
        <v>145</v>
      </c>
      <c r="O129" s="49">
        <f t="shared" si="160"/>
        <v>235</v>
      </c>
      <c r="P129" s="49"/>
      <c r="Q129" s="49">
        <f t="shared" si="160"/>
        <v>0</v>
      </c>
      <c r="R129" s="49">
        <f t="shared" si="160"/>
        <v>316270.86900000001</v>
      </c>
      <c r="S129" s="49">
        <f t="shared" si="160"/>
        <v>303960</v>
      </c>
      <c r="T129" s="49">
        <f t="shared" si="160"/>
        <v>12310.868999999999</v>
      </c>
      <c r="U129" s="49">
        <f t="shared" si="160"/>
        <v>0</v>
      </c>
      <c r="V129" s="49">
        <f t="shared" si="160"/>
        <v>0</v>
      </c>
      <c r="W129" s="49">
        <f t="shared" si="160"/>
        <v>344979.97100000002</v>
      </c>
      <c r="X129" s="49">
        <f t="shared" si="160"/>
        <v>331501.44500000001</v>
      </c>
      <c r="Y129" s="49">
        <f t="shared" si="160"/>
        <v>13478.526000000002</v>
      </c>
      <c r="Z129" s="49">
        <f t="shared" si="160"/>
        <v>0</v>
      </c>
      <c r="AA129" s="49">
        <f t="shared" si="160"/>
        <v>341980.20600000001</v>
      </c>
      <c r="AB129" s="49">
        <f t="shared" si="160"/>
        <v>328501.68</v>
      </c>
      <c r="AC129" s="49">
        <f t="shared" si="160"/>
        <v>13478.526000000002</v>
      </c>
      <c r="AD129" s="49">
        <f t="shared" si="160"/>
        <v>331501.52710000001</v>
      </c>
      <c r="AE129" s="49">
        <f t="shared" si="160"/>
        <v>56600</v>
      </c>
      <c r="AF129" s="49">
        <f t="shared" si="160"/>
        <v>54206</v>
      </c>
      <c r="AG129" s="49">
        <f t="shared" si="160"/>
        <v>62511</v>
      </c>
      <c r="AH129" s="49">
        <f t="shared" si="160"/>
        <v>81884.527099999992</v>
      </c>
      <c r="AI129" s="49">
        <f t="shared" si="160"/>
        <v>38150</v>
      </c>
      <c r="AJ129" s="49">
        <f t="shared" si="160"/>
        <v>38150</v>
      </c>
      <c r="AK129" s="3"/>
    </row>
    <row r="130" spans="1:37" ht="39" customHeight="1" x14ac:dyDescent="0.25">
      <c r="A130" s="6"/>
      <c r="B130" s="47" t="s">
        <v>128</v>
      </c>
      <c r="C130" s="56">
        <f t="shared" ref="C130" si="161">SUM(C131:C149)</f>
        <v>7</v>
      </c>
      <c r="D130" s="56">
        <f t="shared" ref="D130:AJ130" si="162">SUM(D131:D149)</f>
        <v>49</v>
      </c>
      <c r="E130" s="56">
        <f t="shared" si="162"/>
        <v>29</v>
      </c>
      <c r="F130" s="56">
        <f t="shared" si="162"/>
        <v>0</v>
      </c>
      <c r="G130" s="56">
        <f t="shared" si="162"/>
        <v>120107</v>
      </c>
      <c r="H130" s="56">
        <f t="shared" si="162"/>
        <v>75967</v>
      </c>
      <c r="I130" s="56">
        <f t="shared" si="162"/>
        <v>0</v>
      </c>
      <c r="J130" s="56">
        <f t="shared" si="162"/>
        <v>0</v>
      </c>
      <c r="K130" s="56">
        <f t="shared" si="162"/>
        <v>44140</v>
      </c>
      <c r="L130" s="56"/>
      <c r="M130" s="56">
        <f t="shared" si="162"/>
        <v>7</v>
      </c>
      <c r="N130" s="56">
        <f t="shared" si="162"/>
        <v>49</v>
      </c>
      <c r="O130" s="56">
        <f t="shared" si="162"/>
        <v>49</v>
      </c>
      <c r="P130" s="56"/>
      <c r="Q130" s="56">
        <f t="shared" si="162"/>
        <v>0</v>
      </c>
      <c r="R130" s="56">
        <f t="shared" si="162"/>
        <v>123205</v>
      </c>
      <c r="S130" s="56">
        <f t="shared" si="162"/>
        <v>120311</v>
      </c>
      <c r="T130" s="56">
        <f t="shared" si="162"/>
        <v>2894</v>
      </c>
      <c r="U130" s="56"/>
      <c r="V130" s="56"/>
      <c r="W130" s="56">
        <f t="shared" si="162"/>
        <v>106865.516</v>
      </c>
      <c r="X130" s="56">
        <f>SUM(X131:X149)</f>
        <v>103926.442</v>
      </c>
      <c r="Y130" s="56">
        <f t="shared" si="162"/>
        <v>2939.0740000000001</v>
      </c>
      <c r="Z130" s="56">
        <f t="shared" si="162"/>
        <v>0</v>
      </c>
      <c r="AA130" s="56">
        <f t="shared" si="162"/>
        <v>106865.516</v>
      </c>
      <c r="AB130" s="56">
        <f t="shared" si="162"/>
        <v>103926.442</v>
      </c>
      <c r="AC130" s="56">
        <f t="shared" si="162"/>
        <v>2939.0740000000001</v>
      </c>
      <c r="AD130" s="56">
        <f t="shared" si="162"/>
        <v>103926.442</v>
      </c>
      <c r="AE130" s="56">
        <f t="shared" si="162"/>
        <v>17400</v>
      </c>
      <c r="AF130" s="56">
        <f t="shared" si="162"/>
        <v>15401</v>
      </c>
      <c r="AG130" s="56">
        <f t="shared" si="162"/>
        <v>30811</v>
      </c>
      <c r="AH130" s="56">
        <f t="shared" si="162"/>
        <v>40314.441999999995</v>
      </c>
      <c r="AI130" s="56">
        <f t="shared" si="162"/>
        <v>0</v>
      </c>
      <c r="AJ130" s="56">
        <f t="shared" si="162"/>
        <v>0</v>
      </c>
    </row>
    <row r="131" spans="1:37" ht="58.9" customHeight="1" x14ac:dyDescent="0.25">
      <c r="A131" s="22">
        <v>1</v>
      </c>
      <c r="B131" s="5" t="s">
        <v>129</v>
      </c>
      <c r="C131" s="22">
        <v>1</v>
      </c>
      <c r="D131" s="22"/>
      <c r="E131" s="22"/>
      <c r="F131" s="22"/>
      <c r="G131" s="61"/>
      <c r="H131" s="18"/>
      <c r="I131" s="18"/>
      <c r="J131" s="18"/>
      <c r="K131" s="18"/>
      <c r="L131" s="6"/>
      <c r="M131" s="22"/>
      <c r="N131" s="22"/>
      <c r="O131" s="22"/>
      <c r="P131" s="8"/>
      <c r="Q131" s="94" t="s">
        <v>389</v>
      </c>
      <c r="R131" s="37">
        <f t="shared" ref="R131:R174" si="163">S131+T131</f>
        <v>13638</v>
      </c>
      <c r="S131" s="82">
        <f>13638-1368</f>
        <v>12270</v>
      </c>
      <c r="T131" s="82">
        <v>1368</v>
      </c>
      <c r="U131" s="6">
        <v>2021</v>
      </c>
      <c r="V131" s="6">
        <v>2</v>
      </c>
      <c r="W131" s="10">
        <f t="shared" ref="W131:W174" si="164">X131+Y131+Z131</f>
        <v>9824.512999999999</v>
      </c>
      <c r="X131" s="87">
        <v>8457</v>
      </c>
      <c r="Y131" s="85">
        <v>1367.5129999999999</v>
      </c>
      <c r="Z131" s="18"/>
      <c r="AA131" s="10">
        <f t="shared" ref="AA131:AA149" si="165">AB131+AC131</f>
        <v>9824.512999999999</v>
      </c>
      <c r="AB131" s="87">
        <v>8457</v>
      </c>
      <c r="AC131" s="85">
        <v>1367.5129999999999</v>
      </c>
      <c r="AD131" s="10">
        <f t="shared" ref="AD131:AD174" si="166">AE131+AF131+AG131+AH131+AI131+AJ131</f>
        <v>8457</v>
      </c>
      <c r="AE131" s="84">
        <v>8000</v>
      </c>
      <c r="AF131" s="84">
        <v>457</v>
      </c>
      <c r="AG131" s="84"/>
      <c r="AH131" s="84"/>
      <c r="AI131" s="84"/>
      <c r="AJ131" s="84"/>
    </row>
    <row r="132" spans="1:37" ht="20.25" x14ac:dyDescent="0.25">
      <c r="A132" s="22"/>
      <c r="B132" s="5" t="s">
        <v>130</v>
      </c>
      <c r="C132" s="22"/>
      <c r="D132" s="22">
        <v>2</v>
      </c>
      <c r="E132" s="22">
        <v>0</v>
      </c>
      <c r="F132" s="22"/>
      <c r="G132" s="9">
        <f t="shared" ref="G132:G174" si="167">H132+I132+J132+K132</f>
        <v>4124</v>
      </c>
      <c r="H132" s="18">
        <v>4124</v>
      </c>
      <c r="I132" s="18"/>
      <c r="J132" s="18"/>
      <c r="K132" s="18"/>
      <c r="L132" s="6">
        <v>2021</v>
      </c>
      <c r="M132" s="22">
        <v>1</v>
      </c>
      <c r="N132" s="22">
        <v>2</v>
      </c>
      <c r="O132" s="22"/>
      <c r="P132" s="8"/>
      <c r="Q132" s="60"/>
      <c r="R132" s="37">
        <f t="shared" si="163"/>
        <v>0</v>
      </c>
      <c r="S132" s="82"/>
      <c r="T132" s="82"/>
      <c r="U132" s="6"/>
      <c r="V132" s="6"/>
      <c r="W132" s="10">
        <f t="shared" si="164"/>
        <v>0</v>
      </c>
      <c r="X132" s="81">
        <v>0</v>
      </c>
      <c r="Y132" s="81">
        <v>0</v>
      </c>
      <c r="Z132" s="18"/>
      <c r="AA132" s="10">
        <f t="shared" si="165"/>
        <v>0</v>
      </c>
      <c r="AB132" s="81">
        <v>0</v>
      </c>
      <c r="AC132" s="81">
        <v>0</v>
      </c>
      <c r="AD132" s="10">
        <f t="shared" si="166"/>
        <v>0</v>
      </c>
      <c r="AE132" s="84"/>
      <c r="AF132" s="84"/>
      <c r="AG132" s="84"/>
      <c r="AH132" s="84"/>
      <c r="AI132" s="84"/>
      <c r="AJ132" s="84"/>
    </row>
    <row r="133" spans="1:37" ht="20.25" x14ac:dyDescent="0.25">
      <c r="A133" s="22"/>
      <c r="B133" s="5" t="s">
        <v>131</v>
      </c>
      <c r="C133" s="22"/>
      <c r="D133" s="22">
        <v>2</v>
      </c>
      <c r="E133" s="22">
        <v>0</v>
      </c>
      <c r="F133" s="22"/>
      <c r="G133" s="9">
        <f t="shared" si="167"/>
        <v>4124</v>
      </c>
      <c r="H133" s="18">
        <v>4124</v>
      </c>
      <c r="I133" s="18"/>
      <c r="J133" s="18"/>
      <c r="K133" s="18"/>
      <c r="L133" s="6">
        <v>2021</v>
      </c>
      <c r="M133" s="22"/>
      <c r="N133" s="22">
        <v>2</v>
      </c>
      <c r="O133" s="22"/>
      <c r="P133" s="8"/>
      <c r="Q133" s="60"/>
      <c r="R133" s="37">
        <f t="shared" si="163"/>
        <v>0</v>
      </c>
      <c r="S133" s="82"/>
      <c r="T133" s="82"/>
      <c r="U133" s="6"/>
      <c r="V133" s="6"/>
      <c r="W133" s="10">
        <f t="shared" si="164"/>
        <v>0</v>
      </c>
      <c r="X133" s="81">
        <v>0</v>
      </c>
      <c r="Y133" s="81">
        <v>0</v>
      </c>
      <c r="Z133" s="18"/>
      <c r="AA133" s="10">
        <f t="shared" si="165"/>
        <v>0</v>
      </c>
      <c r="AB133" s="81">
        <v>0</v>
      </c>
      <c r="AC133" s="81">
        <v>0</v>
      </c>
      <c r="AD133" s="10">
        <f t="shared" si="166"/>
        <v>0</v>
      </c>
      <c r="AE133" s="84"/>
      <c r="AF133" s="84"/>
      <c r="AG133" s="84"/>
      <c r="AH133" s="84"/>
      <c r="AI133" s="84"/>
      <c r="AJ133" s="84"/>
    </row>
    <row r="134" spans="1:37" ht="20.25" x14ac:dyDescent="0.25">
      <c r="A134" s="22"/>
      <c r="B134" s="5" t="s">
        <v>132</v>
      </c>
      <c r="C134" s="22"/>
      <c r="D134" s="22">
        <v>2</v>
      </c>
      <c r="E134" s="22">
        <v>0</v>
      </c>
      <c r="F134" s="22"/>
      <c r="G134" s="9">
        <f t="shared" si="167"/>
        <v>4124</v>
      </c>
      <c r="H134" s="18">
        <v>4124</v>
      </c>
      <c r="I134" s="18"/>
      <c r="J134" s="18"/>
      <c r="K134" s="18"/>
      <c r="L134" s="6">
        <v>2021</v>
      </c>
      <c r="M134" s="22"/>
      <c r="N134" s="22">
        <v>2</v>
      </c>
      <c r="O134" s="22"/>
      <c r="P134" s="8"/>
      <c r="Q134" s="60"/>
      <c r="R134" s="37">
        <f t="shared" si="163"/>
        <v>0</v>
      </c>
      <c r="S134" s="82"/>
      <c r="T134" s="82"/>
      <c r="U134" s="6"/>
      <c r="V134" s="6"/>
      <c r="W134" s="10">
        <f t="shared" si="164"/>
        <v>0</v>
      </c>
      <c r="X134" s="81">
        <v>0</v>
      </c>
      <c r="Y134" s="81">
        <v>0</v>
      </c>
      <c r="Z134" s="18"/>
      <c r="AA134" s="10">
        <f t="shared" si="165"/>
        <v>0</v>
      </c>
      <c r="AB134" s="81">
        <v>0</v>
      </c>
      <c r="AC134" s="81">
        <v>0</v>
      </c>
      <c r="AD134" s="10">
        <f t="shared" si="166"/>
        <v>0</v>
      </c>
      <c r="AE134" s="84"/>
      <c r="AF134" s="84"/>
      <c r="AG134" s="84"/>
      <c r="AH134" s="84"/>
      <c r="AI134" s="84"/>
      <c r="AJ134" s="84"/>
    </row>
    <row r="135" spans="1:37" ht="69.75" customHeight="1" x14ac:dyDescent="0.25">
      <c r="A135" s="22">
        <v>2</v>
      </c>
      <c r="B135" s="5" t="s">
        <v>133</v>
      </c>
      <c r="C135" s="22">
        <v>1</v>
      </c>
      <c r="D135" s="22"/>
      <c r="E135" s="22"/>
      <c r="F135" s="22"/>
      <c r="G135" s="9"/>
      <c r="H135" s="18"/>
      <c r="I135" s="18"/>
      <c r="J135" s="18"/>
      <c r="K135" s="18" t="s">
        <v>104</v>
      </c>
      <c r="L135" s="6"/>
      <c r="M135" s="22">
        <v>1</v>
      </c>
      <c r="N135" s="22"/>
      <c r="O135" s="22"/>
      <c r="P135" s="8"/>
      <c r="Q135" s="92" t="s">
        <v>374</v>
      </c>
      <c r="R135" s="37">
        <f t="shared" si="163"/>
        <v>34130</v>
      </c>
      <c r="S135" s="82">
        <f>34130-381</f>
        <v>33749</v>
      </c>
      <c r="T135" s="82">
        <v>381</v>
      </c>
      <c r="U135" s="6">
        <v>2021</v>
      </c>
      <c r="V135" s="6">
        <v>2</v>
      </c>
      <c r="W135" s="10">
        <f t="shared" si="164"/>
        <v>31388.441999999999</v>
      </c>
      <c r="X135" s="87">
        <v>31014.441999999999</v>
      </c>
      <c r="Y135" s="85">
        <v>374</v>
      </c>
      <c r="Z135" s="18"/>
      <c r="AA135" s="10">
        <f t="shared" si="165"/>
        <v>31388.441999999999</v>
      </c>
      <c r="AB135" s="87">
        <v>31014.441999999999</v>
      </c>
      <c r="AC135" s="85">
        <v>374</v>
      </c>
      <c r="AD135" s="10">
        <f t="shared" si="166"/>
        <v>31014.441999999999</v>
      </c>
      <c r="AE135" s="84">
        <v>500</v>
      </c>
      <c r="AF135" s="84">
        <v>3100</v>
      </c>
      <c r="AG135" s="84">
        <v>9000</v>
      </c>
      <c r="AH135" s="87">
        <v>18414.441999999999</v>
      </c>
      <c r="AI135" s="87">
        <v>0</v>
      </c>
      <c r="AJ135" s="87">
        <v>0</v>
      </c>
    </row>
    <row r="136" spans="1:37" ht="52.15" customHeight="1" x14ac:dyDescent="0.25">
      <c r="A136" s="22"/>
      <c r="B136" s="5" t="s">
        <v>134</v>
      </c>
      <c r="C136" s="22"/>
      <c r="D136" s="22">
        <v>10</v>
      </c>
      <c r="E136" s="22">
        <v>7</v>
      </c>
      <c r="F136" s="22"/>
      <c r="G136" s="9">
        <f t="shared" si="167"/>
        <v>26939</v>
      </c>
      <c r="H136" s="18">
        <v>26939</v>
      </c>
      <c r="I136" s="18"/>
      <c r="J136" s="18"/>
      <c r="K136" s="18"/>
      <c r="L136" s="6">
        <v>2022</v>
      </c>
      <c r="M136" s="22"/>
      <c r="N136" s="22">
        <v>10</v>
      </c>
      <c r="O136" s="22">
        <v>18</v>
      </c>
      <c r="P136" s="8"/>
      <c r="Q136" s="60"/>
      <c r="R136" s="37">
        <f t="shared" si="163"/>
        <v>0</v>
      </c>
      <c r="S136" s="82"/>
      <c r="T136" s="82"/>
      <c r="U136" s="6"/>
      <c r="V136" s="6"/>
      <c r="W136" s="10">
        <f t="shared" si="164"/>
        <v>0</v>
      </c>
      <c r="X136" s="81">
        <v>0</v>
      </c>
      <c r="Y136" s="81">
        <v>0</v>
      </c>
      <c r="Z136" s="18"/>
      <c r="AA136" s="10">
        <f t="shared" si="165"/>
        <v>0</v>
      </c>
      <c r="AB136" s="81">
        <v>0</v>
      </c>
      <c r="AC136" s="81">
        <v>0</v>
      </c>
      <c r="AD136" s="10">
        <f t="shared" si="166"/>
        <v>0</v>
      </c>
      <c r="AE136" s="84"/>
      <c r="AF136" s="84"/>
      <c r="AG136" s="84"/>
      <c r="AH136" s="84"/>
      <c r="AI136" s="84"/>
      <c r="AJ136" s="84"/>
    </row>
    <row r="137" spans="1:37" ht="44.25" customHeight="1" x14ac:dyDescent="0.25">
      <c r="A137" s="22"/>
      <c r="B137" s="5" t="s">
        <v>135</v>
      </c>
      <c r="C137" s="22"/>
      <c r="D137" s="22">
        <v>2</v>
      </c>
      <c r="E137" s="22">
        <v>0</v>
      </c>
      <c r="F137" s="22"/>
      <c r="G137" s="9">
        <f t="shared" si="167"/>
        <v>4106</v>
      </c>
      <c r="H137" s="18">
        <v>4106</v>
      </c>
      <c r="I137" s="18"/>
      <c r="J137" s="18"/>
      <c r="K137" s="18"/>
      <c r="L137" s="6">
        <v>2022</v>
      </c>
      <c r="M137" s="22"/>
      <c r="N137" s="22">
        <v>2</v>
      </c>
      <c r="O137" s="22"/>
      <c r="P137" s="8"/>
      <c r="Q137" s="60"/>
      <c r="R137" s="37">
        <f t="shared" si="163"/>
        <v>0</v>
      </c>
      <c r="S137" s="82"/>
      <c r="T137" s="82"/>
      <c r="U137" s="6"/>
      <c r="V137" s="6"/>
      <c r="W137" s="10">
        <f t="shared" si="164"/>
        <v>0</v>
      </c>
      <c r="X137" s="81">
        <v>0</v>
      </c>
      <c r="Y137" s="81">
        <v>0</v>
      </c>
      <c r="Z137" s="18"/>
      <c r="AA137" s="10">
        <f t="shared" si="165"/>
        <v>0</v>
      </c>
      <c r="AB137" s="81">
        <v>0</v>
      </c>
      <c r="AC137" s="81">
        <v>0</v>
      </c>
      <c r="AD137" s="10">
        <f t="shared" si="166"/>
        <v>0</v>
      </c>
      <c r="AE137" s="84"/>
      <c r="AF137" s="84"/>
      <c r="AG137" s="84"/>
      <c r="AH137" s="84"/>
      <c r="AI137" s="84"/>
      <c r="AJ137" s="84"/>
    </row>
    <row r="138" spans="1:37" ht="45" customHeight="1" x14ac:dyDescent="0.25">
      <c r="A138" s="22">
        <v>3</v>
      </c>
      <c r="B138" s="26" t="s">
        <v>136</v>
      </c>
      <c r="C138" s="22">
        <v>1</v>
      </c>
      <c r="D138" s="22">
        <v>7</v>
      </c>
      <c r="E138" s="22">
        <v>13</v>
      </c>
      <c r="F138" s="22"/>
      <c r="G138" s="9">
        <f t="shared" si="167"/>
        <v>20731</v>
      </c>
      <c r="H138" s="18">
        <v>20731</v>
      </c>
      <c r="I138" s="18"/>
      <c r="J138" s="18"/>
      <c r="K138" s="18"/>
      <c r="L138" s="6">
        <v>2022</v>
      </c>
      <c r="M138" s="22">
        <v>1</v>
      </c>
      <c r="N138" s="22">
        <v>7</v>
      </c>
      <c r="O138" s="22">
        <v>13</v>
      </c>
      <c r="P138" s="8"/>
      <c r="Q138" s="92" t="s">
        <v>373</v>
      </c>
      <c r="R138" s="37">
        <f t="shared" si="163"/>
        <v>21282</v>
      </c>
      <c r="S138" s="82">
        <v>21282</v>
      </c>
      <c r="T138" s="82"/>
      <c r="U138" s="6">
        <v>2021</v>
      </c>
      <c r="V138" s="6">
        <v>2</v>
      </c>
      <c r="W138" s="10">
        <f t="shared" si="164"/>
        <v>17511</v>
      </c>
      <c r="X138" s="87">
        <v>17511</v>
      </c>
      <c r="Y138" s="85">
        <v>0</v>
      </c>
      <c r="Z138" s="18"/>
      <c r="AA138" s="10">
        <f t="shared" si="165"/>
        <v>17511</v>
      </c>
      <c r="AB138" s="87">
        <v>17511</v>
      </c>
      <c r="AC138" s="85">
        <v>0</v>
      </c>
      <c r="AD138" s="10">
        <f t="shared" si="166"/>
        <v>17511</v>
      </c>
      <c r="AE138" s="84">
        <v>500</v>
      </c>
      <c r="AF138" s="84">
        <v>1500</v>
      </c>
      <c r="AG138" s="84">
        <v>12111</v>
      </c>
      <c r="AH138" s="87">
        <v>3400</v>
      </c>
      <c r="AI138" s="87">
        <v>0</v>
      </c>
      <c r="AJ138" s="87">
        <v>0</v>
      </c>
    </row>
    <row r="139" spans="1:37" ht="49.15" customHeight="1" x14ac:dyDescent="0.25">
      <c r="A139" s="22">
        <v>4</v>
      </c>
      <c r="B139" s="5" t="s">
        <v>137</v>
      </c>
      <c r="C139" s="22">
        <v>1</v>
      </c>
      <c r="D139" s="22"/>
      <c r="E139" s="22"/>
      <c r="F139" s="22"/>
      <c r="G139" s="9"/>
      <c r="H139" s="18"/>
      <c r="I139" s="18"/>
      <c r="J139" s="18"/>
      <c r="K139" s="18" t="s">
        <v>104</v>
      </c>
      <c r="L139" s="6">
        <v>2023</v>
      </c>
      <c r="M139" s="22">
        <v>1</v>
      </c>
      <c r="N139" s="22"/>
      <c r="O139" s="22"/>
      <c r="P139" s="8"/>
      <c r="Q139" s="92" t="s">
        <v>375</v>
      </c>
      <c r="R139" s="37">
        <f t="shared" si="163"/>
        <v>29295</v>
      </c>
      <c r="S139" s="82">
        <f>29295-450</f>
        <v>28845</v>
      </c>
      <c r="T139" s="82">
        <v>450</v>
      </c>
      <c r="U139" s="6">
        <v>2021</v>
      </c>
      <c r="V139" s="6">
        <v>2</v>
      </c>
      <c r="W139" s="10">
        <f t="shared" si="164"/>
        <v>26675</v>
      </c>
      <c r="X139" s="87">
        <v>26200</v>
      </c>
      <c r="Y139" s="85">
        <v>475</v>
      </c>
      <c r="Z139" s="18"/>
      <c r="AA139" s="10">
        <f t="shared" si="165"/>
        <v>26675</v>
      </c>
      <c r="AB139" s="87">
        <v>26200</v>
      </c>
      <c r="AC139" s="85">
        <v>475</v>
      </c>
      <c r="AD139" s="10">
        <f t="shared" si="166"/>
        <v>26200</v>
      </c>
      <c r="AE139" s="84">
        <v>200</v>
      </c>
      <c r="AF139" s="84">
        <v>1500</v>
      </c>
      <c r="AG139" s="84">
        <v>6000</v>
      </c>
      <c r="AH139" s="87">
        <v>18500</v>
      </c>
      <c r="AI139" s="87">
        <v>0</v>
      </c>
      <c r="AJ139" s="87">
        <v>0</v>
      </c>
    </row>
    <row r="140" spans="1:37" ht="43.9" customHeight="1" x14ac:dyDescent="0.25">
      <c r="A140" s="22"/>
      <c r="B140" s="5" t="s">
        <v>134</v>
      </c>
      <c r="C140" s="22"/>
      <c r="D140" s="22">
        <v>8</v>
      </c>
      <c r="E140" s="22">
        <v>5</v>
      </c>
      <c r="F140" s="22"/>
      <c r="G140" s="9">
        <f t="shared" si="167"/>
        <v>19414</v>
      </c>
      <c r="H140" s="18"/>
      <c r="I140" s="18"/>
      <c r="J140" s="18"/>
      <c r="K140" s="18">
        <v>19414</v>
      </c>
      <c r="L140" s="6"/>
      <c r="M140" s="22"/>
      <c r="N140" s="22">
        <v>8</v>
      </c>
      <c r="O140" s="22">
        <v>16</v>
      </c>
      <c r="P140" s="8"/>
      <c r="Q140" s="60"/>
      <c r="R140" s="37">
        <f t="shared" si="163"/>
        <v>0</v>
      </c>
      <c r="S140" s="82"/>
      <c r="T140" s="82"/>
      <c r="U140" s="6"/>
      <c r="V140" s="6"/>
      <c r="W140" s="10">
        <f t="shared" si="164"/>
        <v>0</v>
      </c>
      <c r="X140" s="81">
        <v>0</v>
      </c>
      <c r="Y140" s="81">
        <v>0</v>
      </c>
      <c r="Z140" s="18"/>
      <c r="AA140" s="10">
        <f t="shared" si="165"/>
        <v>0</v>
      </c>
      <c r="AB140" s="81">
        <v>0</v>
      </c>
      <c r="AC140" s="81">
        <v>0</v>
      </c>
      <c r="AD140" s="10">
        <f t="shared" si="166"/>
        <v>0</v>
      </c>
      <c r="AE140" s="84"/>
      <c r="AF140" s="84"/>
      <c r="AG140" s="84"/>
      <c r="AH140" s="84"/>
      <c r="AI140" s="84"/>
      <c r="AJ140" s="84"/>
    </row>
    <row r="141" spans="1:37" ht="39.6" customHeight="1" x14ac:dyDescent="0.25">
      <c r="A141" s="22"/>
      <c r="B141" s="5" t="s">
        <v>138</v>
      </c>
      <c r="C141" s="22"/>
      <c r="D141" s="22">
        <v>2</v>
      </c>
      <c r="E141" s="22">
        <v>0</v>
      </c>
      <c r="F141" s="22"/>
      <c r="G141" s="9">
        <f t="shared" si="167"/>
        <v>4124</v>
      </c>
      <c r="H141" s="18"/>
      <c r="I141" s="18"/>
      <c r="J141" s="18"/>
      <c r="K141" s="18">
        <v>4124</v>
      </c>
      <c r="L141" s="6"/>
      <c r="M141" s="22"/>
      <c r="N141" s="22">
        <v>2</v>
      </c>
      <c r="O141" s="22"/>
      <c r="P141" s="8"/>
      <c r="Q141" s="60"/>
      <c r="R141" s="37">
        <f t="shared" si="163"/>
        <v>0</v>
      </c>
      <c r="S141" s="82"/>
      <c r="T141" s="82"/>
      <c r="U141" s="6"/>
      <c r="V141" s="6"/>
      <c r="W141" s="10">
        <f t="shared" si="164"/>
        <v>0</v>
      </c>
      <c r="X141" s="81">
        <v>0</v>
      </c>
      <c r="Y141" s="81">
        <v>0</v>
      </c>
      <c r="Z141" s="18"/>
      <c r="AA141" s="10">
        <f t="shared" si="165"/>
        <v>0</v>
      </c>
      <c r="AB141" s="81">
        <v>0</v>
      </c>
      <c r="AC141" s="81">
        <v>0</v>
      </c>
      <c r="AD141" s="10">
        <f t="shared" si="166"/>
        <v>0</v>
      </c>
      <c r="AE141" s="84"/>
      <c r="AF141" s="84"/>
      <c r="AG141" s="84"/>
      <c r="AH141" s="84"/>
      <c r="AI141" s="84"/>
      <c r="AJ141" s="84"/>
    </row>
    <row r="142" spans="1:37" ht="47.45" customHeight="1" x14ac:dyDescent="0.25">
      <c r="A142" s="22">
        <v>5</v>
      </c>
      <c r="B142" s="5" t="s">
        <v>141</v>
      </c>
      <c r="C142" s="22">
        <v>1</v>
      </c>
      <c r="D142" s="22"/>
      <c r="E142" s="22"/>
      <c r="F142" s="22"/>
      <c r="G142" s="9">
        <f t="shared" si="167"/>
        <v>0</v>
      </c>
      <c r="H142" s="18"/>
      <c r="I142" s="18"/>
      <c r="J142" s="18"/>
      <c r="K142" s="18"/>
      <c r="L142" s="6">
        <v>2024</v>
      </c>
      <c r="M142" s="22">
        <v>1</v>
      </c>
      <c r="N142" s="22"/>
      <c r="O142" s="22"/>
      <c r="P142" s="8"/>
      <c r="Q142" s="92" t="s">
        <v>354</v>
      </c>
      <c r="R142" s="37">
        <f t="shared" si="163"/>
        <v>9879</v>
      </c>
      <c r="S142" s="82">
        <v>9879</v>
      </c>
      <c r="T142" s="82"/>
      <c r="U142" s="6">
        <v>2021</v>
      </c>
      <c r="V142" s="6">
        <v>2</v>
      </c>
      <c r="W142" s="10">
        <f t="shared" si="164"/>
        <v>8544</v>
      </c>
      <c r="X142" s="87">
        <v>8544</v>
      </c>
      <c r="Y142" s="85">
        <v>0</v>
      </c>
      <c r="Z142" s="18"/>
      <c r="AA142" s="10">
        <f t="shared" si="165"/>
        <v>8544</v>
      </c>
      <c r="AB142" s="87">
        <v>8544</v>
      </c>
      <c r="AC142" s="85">
        <v>0</v>
      </c>
      <c r="AD142" s="10">
        <f t="shared" si="166"/>
        <v>8544</v>
      </c>
      <c r="AE142" s="84">
        <v>1500</v>
      </c>
      <c r="AF142" s="84">
        <v>5344</v>
      </c>
      <c r="AG142" s="84">
        <v>1700</v>
      </c>
      <c r="AH142" s="87"/>
      <c r="AI142" s="87">
        <v>0</v>
      </c>
      <c r="AJ142" s="87">
        <v>0</v>
      </c>
    </row>
    <row r="143" spans="1:37" ht="31.9" customHeight="1" x14ac:dyDescent="0.25">
      <c r="A143" s="22"/>
      <c r="B143" s="5" t="s">
        <v>142</v>
      </c>
      <c r="C143" s="22"/>
      <c r="D143" s="22">
        <v>2</v>
      </c>
      <c r="E143" s="22" t="s">
        <v>104</v>
      </c>
      <c r="F143" s="22"/>
      <c r="G143" s="9">
        <f t="shared" si="167"/>
        <v>4124</v>
      </c>
      <c r="H143" s="18"/>
      <c r="I143" s="18"/>
      <c r="J143" s="18"/>
      <c r="K143" s="18">
        <v>4124</v>
      </c>
      <c r="L143" s="6"/>
      <c r="M143" s="22"/>
      <c r="N143" s="22">
        <v>2</v>
      </c>
      <c r="O143" s="22"/>
      <c r="P143" s="8"/>
      <c r="Q143" s="60"/>
      <c r="R143" s="37">
        <f t="shared" si="163"/>
        <v>0</v>
      </c>
      <c r="S143" s="82"/>
      <c r="T143" s="82"/>
      <c r="U143" s="6"/>
      <c r="V143" s="6"/>
      <c r="W143" s="10">
        <f t="shared" si="164"/>
        <v>0</v>
      </c>
      <c r="X143" s="81">
        <v>0</v>
      </c>
      <c r="Y143" s="81">
        <v>0</v>
      </c>
      <c r="Z143" s="18"/>
      <c r="AA143" s="10">
        <f t="shared" si="165"/>
        <v>0</v>
      </c>
      <c r="AB143" s="81">
        <v>0</v>
      </c>
      <c r="AC143" s="81">
        <v>0</v>
      </c>
      <c r="AD143" s="10">
        <f t="shared" si="166"/>
        <v>0</v>
      </c>
      <c r="AE143" s="84"/>
      <c r="AF143" s="84"/>
      <c r="AG143" s="84"/>
      <c r="AH143" s="84"/>
      <c r="AI143" s="84"/>
      <c r="AJ143" s="84"/>
    </row>
    <row r="144" spans="1:37" ht="30" customHeight="1" x14ac:dyDescent="0.25">
      <c r="A144" s="22"/>
      <c r="B144" s="5" t="s">
        <v>143</v>
      </c>
      <c r="C144" s="22"/>
      <c r="D144" s="22">
        <v>2</v>
      </c>
      <c r="E144" s="22" t="s">
        <v>104</v>
      </c>
      <c r="F144" s="22"/>
      <c r="G144" s="9">
        <f t="shared" si="167"/>
        <v>4124</v>
      </c>
      <c r="H144" s="18"/>
      <c r="I144" s="18"/>
      <c r="J144" s="18"/>
      <c r="K144" s="18">
        <v>4124</v>
      </c>
      <c r="L144" s="6"/>
      <c r="M144" s="22"/>
      <c r="N144" s="22">
        <v>2</v>
      </c>
      <c r="O144" s="22"/>
      <c r="P144" s="8"/>
      <c r="Q144" s="60"/>
      <c r="R144" s="37">
        <f t="shared" si="163"/>
        <v>0</v>
      </c>
      <c r="S144" s="82"/>
      <c r="T144" s="82"/>
      <c r="U144" s="6"/>
      <c r="V144" s="6"/>
      <c r="W144" s="10">
        <f t="shared" si="164"/>
        <v>0</v>
      </c>
      <c r="X144" s="81">
        <v>0</v>
      </c>
      <c r="Y144" s="81">
        <v>0</v>
      </c>
      <c r="Z144" s="18"/>
      <c r="AA144" s="10">
        <f t="shared" si="165"/>
        <v>0</v>
      </c>
      <c r="AB144" s="81">
        <v>0</v>
      </c>
      <c r="AC144" s="81">
        <v>0</v>
      </c>
      <c r="AD144" s="10">
        <f t="shared" si="166"/>
        <v>0</v>
      </c>
      <c r="AE144" s="84"/>
      <c r="AF144" s="84"/>
      <c r="AG144" s="84"/>
      <c r="AH144" s="84"/>
      <c r="AI144" s="84"/>
      <c r="AJ144" s="84"/>
    </row>
    <row r="145" spans="1:36" ht="28.9" customHeight="1" x14ac:dyDescent="0.25">
      <c r="A145" s="22"/>
      <c r="B145" s="5" t="s">
        <v>144</v>
      </c>
      <c r="C145" s="22"/>
      <c r="D145" s="22">
        <v>2</v>
      </c>
      <c r="E145" s="22" t="s">
        <v>104</v>
      </c>
      <c r="F145" s="22"/>
      <c r="G145" s="9">
        <f t="shared" si="167"/>
        <v>4124</v>
      </c>
      <c r="H145" s="18"/>
      <c r="I145" s="18"/>
      <c r="J145" s="18"/>
      <c r="K145" s="18">
        <v>4124</v>
      </c>
      <c r="L145" s="6"/>
      <c r="M145" s="22"/>
      <c r="N145" s="22">
        <v>2</v>
      </c>
      <c r="O145" s="22"/>
      <c r="P145" s="8"/>
      <c r="Q145" s="60"/>
      <c r="R145" s="37">
        <f t="shared" si="163"/>
        <v>0</v>
      </c>
      <c r="S145" s="82"/>
      <c r="T145" s="82"/>
      <c r="U145" s="6"/>
      <c r="V145" s="6"/>
      <c r="W145" s="10">
        <f t="shared" si="164"/>
        <v>0</v>
      </c>
      <c r="X145" s="81">
        <v>0</v>
      </c>
      <c r="Y145" s="81">
        <v>0</v>
      </c>
      <c r="Z145" s="18"/>
      <c r="AA145" s="10">
        <f t="shared" si="165"/>
        <v>0</v>
      </c>
      <c r="AB145" s="81">
        <v>0</v>
      </c>
      <c r="AC145" s="81">
        <v>0</v>
      </c>
      <c r="AD145" s="10">
        <f t="shared" si="166"/>
        <v>0</v>
      </c>
      <c r="AE145" s="84"/>
      <c r="AF145" s="84"/>
      <c r="AG145" s="84"/>
      <c r="AH145" s="84"/>
      <c r="AI145" s="84"/>
      <c r="AJ145" s="84"/>
    </row>
    <row r="146" spans="1:36" ht="37.15" customHeight="1" x14ac:dyDescent="0.25">
      <c r="A146" s="22">
        <v>6</v>
      </c>
      <c r="B146" s="5" t="s">
        <v>145</v>
      </c>
      <c r="C146" s="22">
        <v>1</v>
      </c>
      <c r="D146" s="22"/>
      <c r="E146" s="22"/>
      <c r="F146" s="22"/>
      <c r="G146" s="9">
        <f t="shared" si="167"/>
        <v>0</v>
      </c>
      <c r="H146" s="18"/>
      <c r="I146" s="18"/>
      <c r="J146" s="18"/>
      <c r="K146" s="18"/>
      <c r="L146" s="6">
        <v>2024</v>
      </c>
      <c r="M146" s="22">
        <v>1</v>
      </c>
      <c r="N146" s="22"/>
      <c r="O146" s="22"/>
      <c r="P146" s="8"/>
      <c r="Q146" s="92" t="s">
        <v>355</v>
      </c>
      <c r="R146" s="37">
        <f t="shared" si="163"/>
        <v>8461</v>
      </c>
      <c r="S146" s="18">
        <v>7766</v>
      </c>
      <c r="T146" s="18">
        <v>695</v>
      </c>
      <c r="U146" s="6">
        <v>2021</v>
      </c>
      <c r="V146" s="6">
        <v>2</v>
      </c>
      <c r="W146" s="10">
        <f t="shared" si="164"/>
        <v>7722.5609999999997</v>
      </c>
      <c r="X146" s="87">
        <v>7000</v>
      </c>
      <c r="Y146" s="85">
        <v>722.56100000000004</v>
      </c>
      <c r="Z146" s="18"/>
      <c r="AA146" s="10">
        <f t="shared" si="165"/>
        <v>7722.5609999999997</v>
      </c>
      <c r="AB146" s="87">
        <v>7000</v>
      </c>
      <c r="AC146" s="85">
        <v>722.56100000000004</v>
      </c>
      <c r="AD146" s="10">
        <f t="shared" si="166"/>
        <v>7000</v>
      </c>
      <c r="AE146" s="84">
        <v>1500</v>
      </c>
      <c r="AF146" s="84">
        <v>3500</v>
      </c>
      <c r="AG146" s="84">
        <v>2000</v>
      </c>
      <c r="AH146" s="87"/>
      <c r="AI146" s="87">
        <v>0</v>
      </c>
      <c r="AJ146" s="87">
        <v>0</v>
      </c>
    </row>
    <row r="147" spans="1:36" ht="31.9" customHeight="1" x14ac:dyDescent="0.25">
      <c r="A147" s="22"/>
      <c r="B147" s="5" t="s">
        <v>146</v>
      </c>
      <c r="C147" s="22"/>
      <c r="D147" s="22">
        <v>2</v>
      </c>
      <c r="E147" s="22" t="s">
        <v>104</v>
      </c>
      <c r="F147" s="22"/>
      <c r="G147" s="9">
        <f t="shared" si="167"/>
        <v>4124</v>
      </c>
      <c r="H147" s="18"/>
      <c r="I147" s="18"/>
      <c r="J147" s="18"/>
      <c r="K147" s="18">
        <v>4124</v>
      </c>
      <c r="L147" s="6"/>
      <c r="M147" s="22"/>
      <c r="N147" s="22">
        <v>2</v>
      </c>
      <c r="O147" s="22"/>
      <c r="P147" s="8"/>
      <c r="Q147" s="60"/>
      <c r="R147" s="37">
        <f t="shared" si="163"/>
        <v>0</v>
      </c>
      <c r="S147" s="82"/>
      <c r="T147" s="82"/>
      <c r="U147" s="6"/>
      <c r="V147" s="6"/>
      <c r="W147" s="10">
        <f t="shared" si="164"/>
        <v>0</v>
      </c>
      <c r="X147" s="81">
        <v>0</v>
      </c>
      <c r="Y147" s="81">
        <v>0</v>
      </c>
      <c r="Z147" s="18"/>
      <c r="AA147" s="10">
        <f t="shared" si="165"/>
        <v>0</v>
      </c>
      <c r="AB147" s="81">
        <v>0</v>
      </c>
      <c r="AC147" s="81">
        <v>0</v>
      </c>
      <c r="AD147" s="10">
        <f t="shared" si="166"/>
        <v>0</v>
      </c>
      <c r="AE147" s="84"/>
      <c r="AF147" s="84"/>
      <c r="AG147" s="84"/>
      <c r="AH147" s="84"/>
      <c r="AI147" s="84"/>
      <c r="AJ147" s="84"/>
    </row>
    <row r="148" spans="1:36" ht="30.6" customHeight="1" x14ac:dyDescent="0.25">
      <c r="A148" s="22"/>
      <c r="B148" s="5" t="s">
        <v>147</v>
      </c>
      <c r="C148" s="22"/>
      <c r="D148" s="22">
        <v>2</v>
      </c>
      <c r="E148" s="22" t="s">
        <v>104</v>
      </c>
      <c r="F148" s="22"/>
      <c r="G148" s="9">
        <f t="shared" si="167"/>
        <v>4106</v>
      </c>
      <c r="H148" s="18"/>
      <c r="I148" s="18"/>
      <c r="J148" s="18"/>
      <c r="K148" s="18">
        <v>4106</v>
      </c>
      <c r="L148" s="6"/>
      <c r="M148" s="22"/>
      <c r="N148" s="22">
        <v>2</v>
      </c>
      <c r="O148" s="22"/>
      <c r="P148" s="8"/>
      <c r="Q148" s="60"/>
      <c r="R148" s="37">
        <f t="shared" si="163"/>
        <v>0</v>
      </c>
      <c r="S148" s="82"/>
      <c r="T148" s="82"/>
      <c r="U148" s="6"/>
      <c r="V148" s="6"/>
      <c r="W148" s="10">
        <f t="shared" si="164"/>
        <v>0</v>
      </c>
      <c r="X148" s="81">
        <v>0</v>
      </c>
      <c r="Y148" s="81">
        <v>0</v>
      </c>
      <c r="Z148" s="18"/>
      <c r="AA148" s="10">
        <f t="shared" si="165"/>
        <v>0</v>
      </c>
      <c r="AB148" s="81">
        <v>0</v>
      </c>
      <c r="AC148" s="81">
        <v>0</v>
      </c>
      <c r="AD148" s="10">
        <f t="shared" si="166"/>
        <v>0</v>
      </c>
      <c r="AE148" s="84"/>
      <c r="AF148" s="84"/>
      <c r="AG148" s="84"/>
      <c r="AH148" s="84"/>
      <c r="AI148" s="84"/>
      <c r="AJ148" s="84"/>
    </row>
    <row r="149" spans="1:36" ht="48.6" customHeight="1" x14ac:dyDescent="0.25">
      <c r="A149" s="22">
        <v>7</v>
      </c>
      <c r="B149" s="5" t="s">
        <v>281</v>
      </c>
      <c r="C149" s="22">
        <v>1</v>
      </c>
      <c r="D149" s="22">
        <v>4</v>
      </c>
      <c r="E149" s="22">
        <v>4</v>
      </c>
      <c r="F149" s="22"/>
      <c r="G149" s="9">
        <f t="shared" si="167"/>
        <v>11819</v>
      </c>
      <c r="H149" s="18">
        <v>11819</v>
      </c>
      <c r="I149" s="18"/>
      <c r="J149" s="18"/>
      <c r="K149" s="18"/>
      <c r="L149" s="6">
        <v>2021</v>
      </c>
      <c r="M149" s="22">
        <v>1</v>
      </c>
      <c r="N149" s="22">
        <v>4</v>
      </c>
      <c r="O149" s="22">
        <v>2</v>
      </c>
      <c r="P149" s="8"/>
      <c r="Q149" s="94" t="s">
        <v>388</v>
      </c>
      <c r="R149" s="37">
        <f t="shared" si="163"/>
        <v>6520</v>
      </c>
      <c r="S149" s="82">
        <v>6520</v>
      </c>
      <c r="T149" s="82"/>
      <c r="U149" s="6">
        <v>2021</v>
      </c>
      <c r="V149" s="6">
        <v>2</v>
      </c>
      <c r="W149" s="10">
        <f t="shared" si="164"/>
        <v>5200</v>
      </c>
      <c r="X149" s="87">
        <v>5200</v>
      </c>
      <c r="Y149" s="85">
        <v>0</v>
      </c>
      <c r="Z149" s="18"/>
      <c r="AA149" s="10">
        <f t="shared" si="165"/>
        <v>5200</v>
      </c>
      <c r="AB149" s="87">
        <v>5200</v>
      </c>
      <c r="AC149" s="85">
        <v>0</v>
      </c>
      <c r="AD149" s="10">
        <f t="shared" si="166"/>
        <v>5200</v>
      </c>
      <c r="AE149" s="84">
        <v>5200</v>
      </c>
      <c r="AF149" s="84"/>
      <c r="AG149" s="84"/>
      <c r="AH149" s="84"/>
      <c r="AI149" s="84"/>
      <c r="AJ149" s="84"/>
    </row>
    <row r="150" spans="1:36" ht="35.25" customHeight="1" x14ac:dyDescent="0.25">
      <c r="A150" s="22"/>
      <c r="B150" s="51" t="s">
        <v>37</v>
      </c>
      <c r="C150" s="56">
        <f>SUM(C151:C171)</f>
        <v>9</v>
      </c>
      <c r="D150" s="56">
        <f t="shared" ref="D150:AJ150" si="168">SUM(D151:D171)</f>
        <v>64</v>
      </c>
      <c r="E150" s="56">
        <f t="shared" si="168"/>
        <v>100</v>
      </c>
      <c r="F150" s="56">
        <f t="shared" si="168"/>
        <v>0</v>
      </c>
      <c r="G150" s="56">
        <f t="shared" si="168"/>
        <v>106840</v>
      </c>
      <c r="H150" s="56">
        <f t="shared" si="168"/>
        <v>70534</v>
      </c>
      <c r="I150" s="56">
        <f t="shared" si="168"/>
        <v>0</v>
      </c>
      <c r="J150" s="56">
        <f t="shared" si="168"/>
        <v>0</v>
      </c>
      <c r="K150" s="56">
        <f t="shared" si="168"/>
        <v>36306</v>
      </c>
      <c r="L150" s="56"/>
      <c r="M150" s="56">
        <f t="shared" si="168"/>
        <v>12</v>
      </c>
      <c r="N150" s="56">
        <f t="shared" si="168"/>
        <v>83</v>
      </c>
      <c r="O150" s="56">
        <f t="shared" si="168"/>
        <v>147</v>
      </c>
      <c r="P150" s="56"/>
      <c r="Q150" s="56">
        <f t="shared" si="168"/>
        <v>0</v>
      </c>
      <c r="R150" s="56">
        <f t="shared" si="168"/>
        <v>150683.86900000001</v>
      </c>
      <c r="S150" s="56">
        <f t="shared" si="168"/>
        <v>141767</v>
      </c>
      <c r="T150" s="56">
        <f t="shared" si="168"/>
        <v>8916.8689999999988</v>
      </c>
      <c r="U150" s="56"/>
      <c r="V150" s="56"/>
      <c r="W150" s="56">
        <f t="shared" si="168"/>
        <v>201644.45500000002</v>
      </c>
      <c r="X150" s="56">
        <f>SUM(X151:X171)</f>
        <v>191605.003</v>
      </c>
      <c r="Y150" s="56">
        <f t="shared" si="168"/>
        <v>10039.452000000001</v>
      </c>
      <c r="Z150" s="56">
        <f t="shared" si="168"/>
        <v>0</v>
      </c>
      <c r="AA150" s="56">
        <f t="shared" si="168"/>
        <v>198644.45500000002</v>
      </c>
      <c r="AB150" s="56">
        <f t="shared" si="168"/>
        <v>188605.003</v>
      </c>
      <c r="AC150" s="56">
        <f t="shared" si="168"/>
        <v>10039.452000000001</v>
      </c>
      <c r="AD150" s="56">
        <f t="shared" si="168"/>
        <v>191604.85010000001</v>
      </c>
      <c r="AE150" s="56">
        <f t="shared" si="168"/>
        <v>38100</v>
      </c>
      <c r="AF150" s="56">
        <f t="shared" si="168"/>
        <v>32405</v>
      </c>
      <c r="AG150" s="56">
        <f t="shared" si="168"/>
        <v>21700</v>
      </c>
      <c r="AH150" s="56">
        <f t="shared" si="168"/>
        <v>23099.8501</v>
      </c>
      <c r="AI150" s="56">
        <f t="shared" si="168"/>
        <v>38150</v>
      </c>
      <c r="AJ150" s="56">
        <f t="shared" si="168"/>
        <v>38150</v>
      </c>
    </row>
    <row r="151" spans="1:36" ht="37.9" customHeight="1" x14ac:dyDescent="0.25">
      <c r="A151" s="22">
        <v>1</v>
      </c>
      <c r="B151" s="5" t="s">
        <v>148</v>
      </c>
      <c r="C151" s="22">
        <v>1</v>
      </c>
      <c r="D151" s="22"/>
      <c r="E151" s="22"/>
      <c r="F151" s="22"/>
      <c r="G151" s="9">
        <f t="shared" si="167"/>
        <v>0</v>
      </c>
      <c r="H151" s="18"/>
      <c r="I151" s="18"/>
      <c r="J151" s="18"/>
      <c r="K151" s="18"/>
      <c r="L151" s="6">
        <v>2021</v>
      </c>
      <c r="M151" s="22">
        <v>1</v>
      </c>
      <c r="N151" s="22"/>
      <c r="O151" s="22"/>
      <c r="P151" s="8"/>
      <c r="Q151" s="92" t="s">
        <v>379</v>
      </c>
      <c r="R151" s="37">
        <f t="shared" si="163"/>
        <v>29388</v>
      </c>
      <c r="S151" s="18">
        <v>26975</v>
      </c>
      <c r="T151" s="18">
        <v>2413</v>
      </c>
      <c r="U151" s="6">
        <v>2021</v>
      </c>
      <c r="V151" s="6">
        <v>2</v>
      </c>
      <c r="W151" s="10">
        <f t="shared" si="164"/>
        <v>24367.879000000001</v>
      </c>
      <c r="X151" s="87">
        <v>21700.27</v>
      </c>
      <c r="Y151" s="85">
        <v>2667.6089999999999</v>
      </c>
      <c r="Z151" s="18"/>
      <c r="AA151" s="10">
        <f t="shared" ref="AA151:AA171" si="169">AB151+AC151</f>
        <v>24367.879000000001</v>
      </c>
      <c r="AB151" s="10">
        <f t="shared" ref="AB151:AB169" si="170">X151</f>
        <v>21700.27</v>
      </c>
      <c r="AC151" s="10">
        <f t="shared" ref="AC151:AC171" si="171">Y151</f>
        <v>2667.6089999999999</v>
      </c>
      <c r="AD151" s="10">
        <f t="shared" si="166"/>
        <v>21700.27</v>
      </c>
      <c r="AE151" s="84">
        <v>4500</v>
      </c>
      <c r="AF151" s="84">
        <v>8000</v>
      </c>
      <c r="AG151" s="84">
        <v>4800</v>
      </c>
      <c r="AH151" s="87">
        <v>4400.2700000000004</v>
      </c>
      <c r="AI151" s="87">
        <v>0</v>
      </c>
      <c r="AJ151" s="87">
        <v>0</v>
      </c>
    </row>
    <row r="152" spans="1:36" ht="35.450000000000003" customHeight="1" x14ac:dyDescent="0.25">
      <c r="A152" s="22"/>
      <c r="B152" s="5" t="s">
        <v>134</v>
      </c>
      <c r="C152" s="22"/>
      <c r="D152" s="22">
        <v>10</v>
      </c>
      <c r="E152" s="22">
        <v>20</v>
      </c>
      <c r="F152" s="22"/>
      <c r="G152" s="9">
        <f t="shared" si="167"/>
        <v>19355</v>
      </c>
      <c r="H152" s="18">
        <v>19355</v>
      </c>
      <c r="I152" s="18"/>
      <c r="J152" s="18"/>
      <c r="K152" s="18"/>
      <c r="L152" s="6"/>
      <c r="M152" s="22"/>
      <c r="N152" s="22">
        <v>10</v>
      </c>
      <c r="O152" s="22">
        <v>21</v>
      </c>
      <c r="P152" s="8"/>
      <c r="Q152" s="60"/>
      <c r="R152" s="37">
        <f t="shared" si="163"/>
        <v>0</v>
      </c>
      <c r="S152" s="82"/>
      <c r="T152" s="82"/>
      <c r="U152" s="6"/>
      <c r="V152" s="6"/>
      <c r="W152" s="10">
        <f t="shared" si="164"/>
        <v>0</v>
      </c>
      <c r="X152" s="81">
        <v>0</v>
      </c>
      <c r="Y152" s="81">
        <v>0</v>
      </c>
      <c r="Z152" s="18"/>
      <c r="AA152" s="10">
        <f t="shared" si="169"/>
        <v>0</v>
      </c>
      <c r="AB152" s="10">
        <f t="shared" si="170"/>
        <v>0</v>
      </c>
      <c r="AC152" s="10">
        <f t="shared" si="171"/>
        <v>0</v>
      </c>
      <c r="AD152" s="10">
        <f t="shared" si="166"/>
        <v>0</v>
      </c>
      <c r="AE152" s="84"/>
      <c r="AF152" s="84"/>
      <c r="AG152" s="84"/>
      <c r="AH152" s="84"/>
      <c r="AI152" s="84"/>
      <c r="AJ152" s="84"/>
    </row>
    <row r="153" spans="1:36" ht="54" customHeight="1" x14ac:dyDescent="0.25">
      <c r="A153" s="22">
        <v>2</v>
      </c>
      <c r="B153" s="5" t="s">
        <v>411</v>
      </c>
      <c r="C153" s="22">
        <v>1</v>
      </c>
      <c r="D153" s="22">
        <v>5</v>
      </c>
      <c r="E153" s="22" t="s">
        <v>104</v>
      </c>
      <c r="F153" s="22"/>
      <c r="G153" s="9">
        <f t="shared" ref="G153" si="172">H153+I153+J153+K153</f>
        <v>3508</v>
      </c>
      <c r="H153" s="18">
        <v>3508</v>
      </c>
      <c r="I153" s="18"/>
      <c r="J153" s="18"/>
      <c r="K153" s="18"/>
      <c r="L153" s="6">
        <v>2021</v>
      </c>
      <c r="M153" s="22">
        <v>1</v>
      </c>
      <c r="N153" s="22">
        <v>5</v>
      </c>
      <c r="O153" s="22">
        <v>2</v>
      </c>
      <c r="P153" s="8"/>
      <c r="Q153" s="94" t="s">
        <v>410</v>
      </c>
      <c r="R153" s="37">
        <f t="shared" si="163"/>
        <v>6910</v>
      </c>
      <c r="S153" s="82">
        <f>6910-2292</f>
        <v>4618</v>
      </c>
      <c r="T153" s="82">
        <v>2292</v>
      </c>
      <c r="U153" s="6">
        <v>2021</v>
      </c>
      <c r="V153" s="6">
        <v>1</v>
      </c>
      <c r="W153" s="10">
        <f t="shared" si="164"/>
        <v>5878</v>
      </c>
      <c r="X153" s="87">
        <v>3500</v>
      </c>
      <c r="Y153" s="85">
        <v>2378</v>
      </c>
      <c r="Z153" s="18"/>
      <c r="AA153" s="10">
        <f t="shared" si="169"/>
        <v>5878</v>
      </c>
      <c r="AB153" s="10">
        <f t="shared" si="170"/>
        <v>3500</v>
      </c>
      <c r="AC153" s="10">
        <f t="shared" si="171"/>
        <v>2378</v>
      </c>
      <c r="AD153" s="10">
        <f t="shared" si="166"/>
        <v>3500</v>
      </c>
      <c r="AE153" s="84">
        <v>3500</v>
      </c>
      <c r="AF153" s="84"/>
      <c r="AG153" s="84"/>
      <c r="AH153" s="84"/>
      <c r="AI153" s="84"/>
      <c r="AJ153" s="84"/>
    </row>
    <row r="154" spans="1:36" ht="61.9" customHeight="1" x14ac:dyDescent="0.25">
      <c r="A154" s="22">
        <v>3</v>
      </c>
      <c r="B154" s="5" t="s">
        <v>149</v>
      </c>
      <c r="C154" s="22">
        <v>1</v>
      </c>
      <c r="D154" s="22"/>
      <c r="E154" s="22"/>
      <c r="F154" s="22"/>
      <c r="G154" s="9">
        <f t="shared" si="167"/>
        <v>0</v>
      </c>
      <c r="H154" s="18"/>
      <c r="I154" s="18"/>
      <c r="J154" s="18"/>
      <c r="K154" s="18"/>
      <c r="L154" s="6">
        <v>2021</v>
      </c>
      <c r="M154" s="22">
        <v>1</v>
      </c>
      <c r="N154" s="22"/>
      <c r="O154" s="22"/>
      <c r="P154" s="8"/>
      <c r="Q154" s="92" t="s">
        <v>407</v>
      </c>
      <c r="R154" s="37">
        <f t="shared" si="163"/>
        <v>25738</v>
      </c>
      <c r="S154" s="82">
        <f>25738-127</f>
        <v>25611</v>
      </c>
      <c r="T154" s="82">
        <v>127</v>
      </c>
      <c r="U154" s="6">
        <v>2021</v>
      </c>
      <c r="V154" s="6">
        <v>1</v>
      </c>
      <c r="W154" s="10">
        <f t="shared" si="164"/>
        <v>22165</v>
      </c>
      <c r="X154" s="81">
        <v>22165</v>
      </c>
      <c r="Y154" s="81">
        <v>0</v>
      </c>
      <c r="Z154" s="18"/>
      <c r="AA154" s="10">
        <f t="shared" si="169"/>
        <v>22165</v>
      </c>
      <c r="AB154" s="10">
        <f t="shared" si="170"/>
        <v>22165</v>
      </c>
      <c r="AC154" s="10">
        <f t="shared" si="171"/>
        <v>0</v>
      </c>
      <c r="AD154" s="10">
        <f t="shared" si="166"/>
        <v>22165.260000000002</v>
      </c>
      <c r="AE154" s="84">
        <v>9000</v>
      </c>
      <c r="AF154" s="84">
        <v>6765</v>
      </c>
      <c r="AG154" s="84">
        <v>2900</v>
      </c>
      <c r="AH154" s="87">
        <v>3500.26</v>
      </c>
      <c r="AI154" s="87">
        <v>0</v>
      </c>
      <c r="AJ154" s="87">
        <v>0</v>
      </c>
    </row>
    <row r="155" spans="1:36" ht="34.9" customHeight="1" x14ac:dyDescent="0.25">
      <c r="A155" s="22"/>
      <c r="B155" s="5" t="s">
        <v>134</v>
      </c>
      <c r="C155" s="22"/>
      <c r="D155" s="22">
        <v>7</v>
      </c>
      <c r="E155" s="22">
        <v>20</v>
      </c>
      <c r="F155" s="22"/>
      <c r="G155" s="9">
        <f t="shared" si="167"/>
        <v>16139</v>
      </c>
      <c r="H155" s="18">
        <v>16139</v>
      </c>
      <c r="I155" s="18"/>
      <c r="J155" s="18"/>
      <c r="K155" s="18"/>
      <c r="L155" s="6"/>
      <c r="M155" s="22"/>
      <c r="N155" s="22">
        <v>7</v>
      </c>
      <c r="O155" s="22">
        <v>15</v>
      </c>
      <c r="P155" s="8"/>
      <c r="Q155" s="60"/>
      <c r="R155" s="37">
        <f t="shared" si="163"/>
        <v>0</v>
      </c>
      <c r="S155" s="82"/>
      <c r="T155" s="82"/>
      <c r="U155" s="6"/>
      <c r="V155" s="6"/>
      <c r="W155" s="10">
        <f t="shared" si="164"/>
        <v>0</v>
      </c>
      <c r="X155" s="87"/>
      <c r="Y155" s="85">
        <v>0</v>
      </c>
      <c r="Z155" s="18"/>
      <c r="AA155" s="10">
        <f t="shared" si="169"/>
        <v>0</v>
      </c>
      <c r="AB155" s="10">
        <f t="shared" si="170"/>
        <v>0</v>
      </c>
      <c r="AC155" s="10">
        <f t="shared" si="171"/>
        <v>0</v>
      </c>
      <c r="AD155" s="10">
        <f t="shared" si="166"/>
        <v>0</v>
      </c>
      <c r="AE155" s="84"/>
      <c r="AF155" s="84"/>
      <c r="AG155" s="84"/>
      <c r="AH155" s="87"/>
      <c r="AI155" s="87">
        <v>0</v>
      </c>
      <c r="AJ155" s="87">
        <v>0</v>
      </c>
    </row>
    <row r="156" spans="1:36" ht="40.5" customHeight="1" x14ac:dyDescent="0.25">
      <c r="A156" s="22"/>
      <c r="B156" s="5" t="s">
        <v>150</v>
      </c>
      <c r="C156" s="22"/>
      <c r="D156" s="22">
        <v>5</v>
      </c>
      <c r="E156" s="22">
        <v>0</v>
      </c>
      <c r="F156" s="22"/>
      <c r="G156" s="9">
        <f t="shared" si="167"/>
        <v>3507</v>
      </c>
      <c r="H156" s="18">
        <v>3507</v>
      </c>
      <c r="I156" s="18"/>
      <c r="J156" s="18"/>
      <c r="K156" s="18"/>
      <c r="L156" s="6"/>
      <c r="M156" s="22"/>
      <c r="N156" s="22">
        <v>5</v>
      </c>
      <c r="O156" s="22"/>
      <c r="P156" s="8"/>
      <c r="Q156" s="60"/>
      <c r="R156" s="37">
        <f t="shared" si="163"/>
        <v>0</v>
      </c>
      <c r="S156" s="82"/>
      <c r="T156" s="82"/>
      <c r="U156" s="6"/>
      <c r="V156" s="6"/>
      <c r="W156" s="10">
        <f t="shared" si="164"/>
        <v>0</v>
      </c>
      <c r="X156" s="81">
        <v>0</v>
      </c>
      <c r="Y156" s="81">
        <v>0</v>
      </c>
      <c r="Z156" s="18"/>
      <c r="AA156" s="10">
        <f t="shared" si="169"/>
        <v>0</v>
      </c>
      <c r="AB156" s="10">
        <f t="shared" si="170"/>
        <v>0</v>
      </c>
      <c r="AC156" s="10">
        <f t="shared" si="171"/>
        <v>0</v>
      </c>
      <c r="AD156" s="10">
        <f t="shared" si="166"/>
        <v>0</v>
      </c>
      <c r="AE156" s="84"/>
      <c r="AF156" s="84"/>
      <c r="AG156" s="84"/>
      <c r="AH156" s="84"/>
      <c r="AI156" s="84"/>
      <c r="AJ156" s="84"/>
    </row>
    <row r="157" spans="1:36" ht="39" customHeight="1" x14ac:dyDescent="0.25">
      <c r="A157" s="22">
        <v>4</v>
      </c>
      <c r="B157" s="5" t="s">
        <v>151</v>
      </c>
      <c r="C157" s="22">
        <v>1</v>
      </c>
      <c r="D157" s="22">
        <v>5</v>
      </c>
      <c r="E157" s="22">
        <v>16</v>
      </c>
      <c r="F157" s="22"/>
      <c r="G157" s="9">
        <f t="shared" si="167"/>
        <v>14175</v>
      </c>
      <c r="H157" s="18">
        <v>14175</v>
      </c>
      <c r="I157" s="18"/>
      <c r="J157" s="18"/>
      <c r="K157" s="18"/>
      <c r="L157" s="6">
        <v>2022</v>
      </c>
      <c r="M157" s="22">
        <v>1</v>
      </c>
      <c r="N157" s="22">
        <v>5</v>
      </c>
      <c r="O157" s="22">
        <v>18</v>
      </c>
      <c r="P157" s="8"/>
      <c r="Q157" s="92" t="s">
        <v>356</v>
      </c>
      <c r="R157" s="37">
        <f t="shared" si="163"/>
        <v>19681.348999999998</v>
      </c>
      <c r="S157" s="18">
        <v>19095</v>
      </c>
      <c r="T157" s="18">
        <f>19681.349-S157</f>
        <v>586.34899999999834</v>
      </c>
      <c r="U157" s="6">
        <v>2021</v>
      </c>
      <c r="V157" s="6">
        <v>1</v>
      </c>
      <c r="W157" s="10">
        <f t="shared" si="164"/>
        <v>15740</v>
      </c>
      <c r="X157" s="87">
        <v>15440</v>
      </c>
      <c r="Y157" s="85">
        <v>300</v>
      </c>
      <c r="Z157" s="18"/>
      <c r="AA157" s="10">
        <f t="shared" si="169"/>
        <v>15740</v>
      </c>
      <c r="AB157" s="10">
        <f t="shared" si="170"/>
        <v>15440</v>
      </c>
      <c r="AC157" s="10">
        <f t="shared" si="171"/>
        <v>300</v>
      </c>
      <c r="AD157" s="10">
        <f t="shared" si="166"/>
        <v>15440</v>
      </c>
      <c r="AE157" s="84">
        <v>7000</v>
      </c>
      <c r="AF157" s="84">
        <v>4940</v>
      </c>
      <c r="AG157" s="84">
        <v>2200</v>
      </c>
      <c r="AH157" s="87">
        <v>1300</v>
      </c>
      <c r="AI157" s="87">
        <v>0</v>
      </c>
      <c r="AJ157" s="87">
        <v>0</v>
      </c>
    </row>
    <row r="158" spans="1:36" ht="42" customHeight="1" x14ac:dyDescent="0.25">
      <c r="A158" s="22">
        <v>5</v>
      </c>
      <c r="B158" s="5" t="s">
        <v>152</v>
      </c>
      <c r="C158" s="22">
        <v>1</v>
      </c>
      <c r="D158" s="22"/>
      <c r="E158" s="22"/>
      <c r="F158" s="22"/>
      <c r="G158" s="9">
        <f t="shared" si="167"/>
        <v>0</v>
      </c>
      <c r="H158" s="18"/>
      <c r="I158" s="18"/>
      <c r="J158" s="18"/>
      <c r="K158" s="18"/>
      <c r="L158" s="6"/>
      <c r="M158" s="22">
        <v>1</v>
      </c>
      <c r="N158" s="22"/>
      <c r="O158" s="22"/>
      <c r="P158" s="8"/>
      <c r="Q158" s="92" t="s">
        <v>376</v>
      </c>
      <c r="R158" s="37">
        <f t="shared" si="163"/>
        <v>26676.16</v>
      </c>
      <c r="S158" s="18">
        <v>25098</v>
      </c>
      <c r="T158" s="18">
        <f>26676.16-S158</f>
        <v>1578.1599999999999</v>
      </c>
      <c r="U158" s="6">
        <v>2021</v>
      </c>
      <c r="V158" s="6">
        <v>1</v>
      </c>
      <c r="W158" s="10">
        <f t="shared" si="164"/>
        <v>21503.576000000001</v>
      </c>
      <c r="X158" s="87">
        <v>19499.733</v>
      </c>
      <c r="Y158" s="85">
        <v>2003.8429999999998</v>
      </c>
      <c r="Z158" s="18"/>
      <c r="AA158" s="10">
        <f t="shared" si="169"/>
        <v>21503.576000000001</v>
      </c>
      <c r="AB158" s="10">
        <f t="shared" si="170"/>
        <v>19499.733</v>
      </c>
      <c r="AC158" s="10">
        <f t="shared" si="171"/>
        <v>2003.8429999999998</v>
      </c>
      <c r="AD158" s="10">
        <f t="shared" si="166"/>
        <v>19499.733</v>
      </c>
      <c r="AE158" s="84">
        <v>600</v>
      </c>
      <c r="AF158" s="84">
        <v>1500</v>
      </c>
      <c r="AG158" s="84">
        <v>4000</v>
      </c>
      <c r="AH158" s="87">
        <v>13399.733</v>
      </c>
      <c r="AI158" s="87">
        <v>0</v>
      </c>
      <c r="AJ158" s="87">
        <v>0</v>
      </c>
    </row>
    <row r="159" spans="1:36" ht="32.25" customHeight="1" x14ac:dyDescent="0.25">
      <c r="A159" s="22"/>
      <c r="B159" s="5" t="s">
        <v>134</v>
      </c>
      <c r="C159" s="22"/>
      <c r="D159" s="22">
        <v>10</v>
      </c>
      <c r="E159" s="22">
        <v>9</v>
      </c>
      <c r="F159" s="22"/>
      <c r="G159" s="9">
        <f t="shared" si="167"/>
        <v>13850</v>
      </c>
      <c r="H159" s="18">
        <v>13850</v>
      </c>
      <c r="I159" s="18"/>
      <c r="J159" s="18"/>
      <c r="K159" s="18"/>
      <c r="L159" s="6">
        <v>2022</v>
      </c>
      <c r="M159" s="22"/>
      <c r="N159" s="22">
        <v>10</v>
      </c>
      <c r="O159" s="22">
        <v>18</v>
      </c>
      <c r="P159" s="8"/>
      <c r="Q159" s="60"/>
      <c r="R159" s="37">
        <f t="shared" si="163"/>
        <v>0</v>
      </c>
      <c r="S159" s="82"/>
      <c r="T159" s="82"/>
      <c r="U159" s="6"/>
      <c r="V159" s="6"/>
      <c r="W159" s="10">
        <f t="shared" si="164"/>
        <v>0</v>
      </c>
      <c r="X159" s="87"/>
      <c r="Y159" s="85"/>
      <c r="Z159" s="18"/>
      <c r="AA159" s="10">
        <f t="shared" si="169"/>
        <v>0</v>
      </c>
      <c r="AB159" s="10">
        <f t="shared" si="170"/>
        <v>0</v>
      </c>
      <c r="AC159" s="10">
        <f t="shared" si="171"/>
        <v>0</v>
      </c>
      <c r="AD159" s="10">
        <f t="shared" si="166"/>
        <v>0</v>
      </c>
      <c r="AE159" s="84"/>
      <c r="AF159" s="84"/>
      <c r="AG159" s="84"/>
      <c r="AH159" s="87"/>
      <c r="AI159" s="87"/>
      <c r="AJ159" s="87">
        <v>0</v>
      </c>
    </row>
    <row r="160" spans="1:36" ht="43.9" customHeight="1" x14ac:dyDescent="0.25">
      <c r="A160" s="22">
        <v>6</v>
      </c>
      <c r="B160" s="5" t="s">
        <v>153</v>
      </c>
      <c r="C160" s="22">
        <v>1</v>
      </c>
      <c r="D160" s="22"/>
      <c r="E160" s="22"/>
      <c r="F160" s="22"/>
      <c r="G160" s="9">
        <f t="shared" si="167"/>
        <v>0</v>
      </c>
      <c r="H160" s="18"/>
      <c r="I160" s="18"/>
      <c r="J160" s="18"/>
      <c r="K160" s="18"/>
      <c r="L160" s="6"/>
      <c r="M160" s="22">
        <v>1</v>
      </c>
      <c r="N160" s="22"/>
      <c r="O160" s="22"/>
      <c r="P160" s="8"/>
      <c r="Q160" s="43" t="s">
        <v>397</v>
      </c>
      <c r="R160" s="37">
        <f t="shared" si="163"/>
        <v>5654.36</v>
      </c>
      <c r="S160" s="18">
        <v>5373</v>
      </c>
      <c r="T160" s="18">
        <f>5654.36-S160</f>
        <v>281.35999999999967</v>
      </c>
      <c r="U160" s="6">
        <v>2021</v>
      </c>
      <c r="V160" s="6">
        <v>1</v>
      </c>
      <c r="W160" s="10">
        <f t="shared" si="164"/>
        <v>5403</v>
      </c>
      <c r="X160" s="81">
        <v>4200</v>
      </c>
      <c r="Y160" s="81">
        <v>1203</v>
      </c>
      <c r="Z160" s="18"/>
      <c r="AA160" s="10">
        <f t="shared" si="169"/>
        <v>5403</v>
      </c>
      <c r="AB160" s="10">
        <f t="shared" si="170"/>
        <v>4200</v>
      </c>
      <c r="AC160" s="10">
        <f t="shared" si="171"/>
        <v>1203</v>
      </c>
      <c r="AD160" s="10">
        <f t="shared" si="166"/>
        <v>4200</v>
      </c>
      <c r="AE160" s="84">
        <v>2000</v>
      </c>
      <c r="AF160" s="84">
        <v>2200</v>
      </c>
      <c r="AG160" s="84"/>
      <c r="AH160" s="84"/>
      <c r="AI160" s="84"/>
      <c r="AJ160" s="84"/>
    </row>
    <row r="161" spans="1:37" ht="37.5" customHeight="1" x14ac:dyDescent="0.25">
      <c r="A161" s="22"/>
      <c r="B161" s="5" t="s">
        <v>154</v>
      </c>
      <c r="C161" s="22"/>
      <c r="D161" s="22">
        <v>2</v>
      </c>
      <c r="E161" s="22">
        <v>2</v>
      </c>
      <c r="F161" s="22"/>
      <c r="G161" s="9">
        <f t="shared" si="167"/>
        <v>2716</v>
      </c>
      <c r="H161" s="18"/>
      <c r="I161" s="18"/>
      <c r="J161" s="18"/>
      <c r="K161" s="18">
        <v>2716</v>
      </c>
      <c r="L161" s="6">
        <v>2023</v>
      </c>
      <c r="M161" s="22"/>
      <c r="N161" s="22">
        <v>2</v>
      </c>
      <c r="O161" s="22">
        <v>1</v>
      </c>
      <c r="P161" s="8"/>
      <c r="Q161" s="60"/>
      <c r="R161" s="37">
        <f t="shared" si="163"/>
        <v>0</v>
      </c>
      <c r="S161" s="82"/>
      <c r="T161" s="82"/>
      <c r="U161" s="6"/>
      <c r="V161" s="6"/>
      <c r="W161" s="10">
        <f t="shared" si="164"/>
        <v>0</v>
      </c>
      <c r="X161" s="87"/>
      <c r="Y161" s="85"/>
      <c r="Z161" s="18"/>
      <c r="AA161" s="10">
        <f t="shared" si="169"/>
        <v>0</v>
      </c>
      <c r="AB161" s="10">
        <f t="shared" si="170"/>
        <v>0</v>
      </c>
      <c r="AC161" s="10">
        <f t="shared" si="171"/>
        <v>0</v>
      </c>
      <c r="AD161" s="10">
        <f t="shared" si="166"/>
        <v>0</v>
      </c>
      <c r="AE161" s="84"/>
      <c r="AF161" s="84"/>
      <c r="AG161" s="84"/>
      <c r="AH161" s="87">
        <v>0</v>
      </c>
      <c r="AI161" s="87">
        <v>0</v>
      </c>
      <c r="AJ161" s="87">
        <v>0</v>
      </c>
    </row>
    <row r="162" spans="1:37" ht="44.25" customHeight="1" x14ac:dyDescent="0.25">
      <c r="A162" s="22"/>
      <c r="B162" s="5" t="s">
        <v>155</v>
      </c>
      <c r="C162" s="22"/>
      <c r="D162" s="22">
        <v>2</v>
      </c>
      <c r="E162" s="22">
        <v>0</v>
      </c>
      <c r="F162" s="22"/>
      <c r="G162" s="9">
        <f t="shared" si="167"/>
        <v>1485</v>
      </c>
      <c r="H162" s="18"/>
      <c r="I162" s="18"/>
      <c r="J162" s="18"/>
      <c r="K162" s="18">
        <v>1485</v>
      </c>
      <c r="L162" s="6">
        <v>2023</v>
      </c>
      <c r="M162" s="22"/>
      <c r="N162" s="22">
        <v>2</v>
      </c>
      <c r="O162" s="22"/>
      <c r="P162" s="8"/>
      <c r="Q162" s="60"/>
      <c r="R162" s="37">
        <f t="shared" si="163"/>
        <v>0</v>
      </c>
      <c r="S162" s="82"/>
      <c r="T162" s="82"/>
      <c r="U162" s="6"/>
      <c r="V162" s="6"/>
      <c r="W162" s="10">
        <f t="shared" si="164"/>
        <v>0</v>
      </c>
      <c r="X162" s="81">
        <v>0</v>
      </c>
      <c r="Y162" s="81">
        <v>0</v>
      </c>
      <c r="Z162" s="18"/>
      <c r="AA162" s="10">
        <f t="shared" si="169"/>
        <v>0</v>
      </c>
      <c r="AB162" s="10">
        <f t="shared" si="170"/>
        <v>0</v>
      </c>
      <c r="AC162" s="10">
        <f t="shared" si="171"/>
        <v>0</v>
      </c>
      <c r="AD162" s="10">
        <f t="shared" si="166"/>
        <v>0</v>
      </c>
      <c r="AE162" s="84"/>
      <c r="AF162" s="84"/>
      <c r="AG162" s="84"/>
      <c r="AH162" s="84"/>
      <c r="AI162" s="84"/>
      <c r="AJ162" s="84"/>
    </row>
    <row r="163" spans="1:37" ht="42.6" customHeight="1" x14ac:dyDescent="0.25">
      <c r="A163" s="22">
        <v>7</v>
      </c>
      <c r="B163" s="5" t="s">
        <v>156</v>
      </c>
      <c r="C163" s="22">
        <v>1</v>
      </c>
      <c r="D163" s="22"/>
      <c r="E163" s="22"/>
      <c r="F163" s="22"/>
      <c r="G163" s="9">
        <f t="shared" si="167"/>
        <v>0</v>
      </c>
      <c r="H163" s="18"/>
      <c r="I163" s="18"/>
      <c r="J163" s="18"/>
      <c r="K163" s="18"/>
      <c r="L163" s="6"/>
      <c r="M163" s="22">
        <v>1</v>
      </c>
      <c r="N163" s="22"/>
      <c r="O163" s="22"/>
      <c r="P163" s="8"/>
      <c r="Q163" s="94" t="s">
        <v>396</v>
      </c>
      <c r="R163" s="37">
        <f t="shared" si="163"/>
        <v>19531</v>
      </c>
      <c r="S163" s="82">
        <v>18879</v>
      </c>
      <c r="T163" s="82">
        <v>652</v>
      </c>
      <c r="U163" s="6">
        <v>2021</v>
      </c>
      <c r="V163" s="6">
        <v>1</v>
      </c>
      <c r="W163" s="10">
        <f t="shared" si="164"/>
        <v>16000</v>
      </c>
      <c r="X163" s="81">
        <v>15500</v>
      </c>
      <c r="Y163" s="81">
        <v>500</v>
      </c>
      <c r="Z163" s="18"/>
      <c r="AA163" s="10">
        <f t="shared" si="169"/>
        <v>16000</v>
      </c>
      <c r="AB163" s="10">
        <f t="shared" si="170"/>
        <v>15500</v>
      </c>
      <c r="AC163" s="10">
        <f t="shared" si="171"/>
        <v>500</v>
      </c>
      <c r="AD163" s="10">
        <f t="shared" si="166"/>
        <v>15499.587100000001</v>
      </c>
      <c r="AE163" s="84">
        <v>5000</v>
      </c>
      <c r="AF163" s="84">
        <v>5000</v>
      </c>
      <c r="AG163" s="84">
        <v>5000</v>
      </c>
      <c r="AH163" s="87">
        <v>499.58709999999974</v>
      </c>
      <c r="AI163" s="84"/>
      <c r="AJ163" s="84"/>
    </row>
    <row r="164" spans="1:37" ht="38.25" customHeight="1" x14ac:dyDescent="0.25">
      <c r="A164" s="22"/>
      <c r="B164" s="5" t="s">
        <v>134</v>
      </c>
      <c r="C164" s="22"/>
      <c r="D164" s="22">
        <v>7</v>
      </c>
      <c r="E164" s="22">
        <v>17</v>
      </c>
      <c r="F164" s="22"/>
      <c r="G164" s="9">
        <f t="shared" si="167"/>
        <v>15086</v>
      </c>
      <c r="H164" s="18"/>
      <c r="I164" s="18"/>
      <c r="J164" s="18"/>
      <c r="K164" s="18">
        <v>15086</v>
      </c>
      <c r="L164" s="6">
        <v>2024</v>
      </c>
      <c r="M164" s="22"/>
      <c r="N164" s="22">
        <v>7</v>
      </c>
      <c r="O164" s="22">
        <v>15</v>
      </c>
      <c r="P164" s="8"/>
      <c r="Q164" s="60"/>
      <c r="R164" s="37">
        <f t="shared" si="163"/>
        <v>0</v>
      </c>
      <c r="S164" s="82"/>
      <c r="T164" s="82"/>
      <c r="U164" s="6"/>
      <c r="V164" s="6"/>
      <c r="W164" s="10">
        <f t="shared" si="164"/>
        <v>0</v>
      </c>
      <c r="X164" s="87"/>
      <c r="Y164" s="85"/>
      <c r="Z164" s="18"/>
      <c r="AA164" s="10">
        <f t="shared" si="169"/>
        <v>0</v>
      </c>
      <c r="AB164" s="10">
        <f t="shared" si="170"/>
        <v>0</v>
      </c>
      <c r="AC164" s="10">
        <f t="shared" si="171"/>
        <v>0</v>
      </c>
      <c r="AD164" s="10">
        <f t="shared" si="166"/>
        <v>0</v>
      </c>
      <c r="AE164" s="84"/>
      <c r="AF164" s="84"/>
      <c r="AG164" s="84"/>
      <c r="AH164" s="87"/>
      <c r="AI164" s="87"/>
      <c r="AJ164" s="87">
        <v>0</v>
      </c>
    </row>
    <row r="165" spans="1:37" ht="62.45" customHeight="1" x14ac:dyDescent="0.25">
      <c r="A165" s="22">
        <v>8</v>
      </c>
      <c r="B165" s="5" t="s">
        <v>406</v>
      </c>
      <c r="C165" s="22">
        <v>1</v>
      </c>
      <c r="D165" s="22">
        <v>2</v>
      </c>
      <c r="E165" s="22">
        <v>0</v>
      </c>
      <c r="F165" s="22"/>
      <c r="G165" s="9">
        <f t="shared" ref="G165" si="173">H165+I165+J165+K165</f>
        <v>1485</v>
      </c>
      <c r="H165" s="18"/>
      <c r="I165" s="18"/>
      <c r="J165" s="18"/>
      <c r="K165" s="18">
        <v>1485</v>
      </c>
      <c r="L165" s="6">
        <v>2024</v>
      </c>
      <c r="M165" s="22">
        <v>1</v>
      </c>
      <c r="N165" s="22">
        <v>2</v>
      </c>
      <c r="O165" s="22"/>
      <c r="P165" s="8"/>
      <c r="Q165" s="95" t="s">
        <v>409</v>
      </c>
      <c r="R165" s="37">
        <f t="shared" si="163"/>
        <v>2165</v>
      </c>
      <c r="S165" s="82">
        <f>2165-987</f>
        <v>1178</v>
      </c>
      <c r="T165" s="82">
        <v>987</v>
      </c>
      <c r="U165" s="6">
        <v>2021</v>
      </c>
      <c r="V165" s="6">
        <v>1</v>
      </c>
      <c r="W165" s="10">
        <f t="shared" si="164"/>
        <v>1987</v>
      </c>
      <c r="X165" s="81">
        <v>1000</v>
      </c>
      <c r="Y165" s="81">
        <v>987</v>
      </c>
      <c r="Z165" s="18"/>
      <c r="AA165" s="10">
        <f t="shared" si="169"/>
        <v>1987</v>
      </c>
      <c r="AB165" s="10">
        <f t="shared" si="170"/>
        <v>1000</v>
      </c>
      <c r="AC165" s="10">
        <f t="shared" si="171"/>
        <v>987</v>
      </c>
      <c r="AD165" s="10">
        <f t="shared" si="166"/>
        <v>1000</v>
      </c>
      <c r="AE165" s="84">
        <v>1000</v>
      </c>
      <c r="AF165" s="84"/>
      <c r="AG165" s="84"/>
      <c r="AH165" s="84"/>
      <c r="AI165" s="84"/>
      <c r="AJ165" s="84"/>
    </row>
    <row r="166" spans="1:37" ht="56.45" customHeight="1" x14ac:dyDescent="0.25">
      <c r="A166" s="22">
        <v>9</v>
      </c>
      <c r="B166" s="5" t="s">
        <v>157</v>
      </c>
      <c r="C166" s="22">
        <v>1</v>
      </c>
      <c r="D166" s="22">
        <v>9</v>
      </c>
      <c r="E166" s="22">
        <v>16</v>
      </c>
      <c r="F166" s="22"/>
      <c r="G166" s="9">
        <f t="shared" si="167"/>
        <v>15534</v>
      </c>
      <c r="H166" s="18"/>
      <c r="I166" s="18"/>
      <c r="J166" s="18"/>
      <c r="K166" s="18">
        <v>15534</v>
      </c>
      <c r="L166" s="6">
        <v>2024</v>
      </c>
      <c r="M166" s="22">
        <v>1</v>
      </c>
      <c r="N166" s="22">
        <v>9</v>
      </c>
      <c r="O166" s="22">
        <v>9</v>
      </c>
      <c r="P166" s="8"/>
      <c r="Q166" s="86" t="s">
        <v>408</v>
      </c>
      <c r="R166" s="37">
        <f t="shared" si="163"/>
        <v>14940</v>
      </c>
      <c r="S166" s="18">
        <v>14940</v>
      </c>
      <c r="T166" s="82"/>
      <c r="U166" s="6">
        <v>2021</v>
      </c>
      <c r="V166" s="6">
        <v>2</v>
      </c>
      <c r="W166" s="10">
        <f t="shared" si="164"/>
        <v>12300</v>
      </c>
      <c r="X166" s="87">
        <v>12300</v>
      </c>
      <c r="Y166" s="85"/>
      <c r="Z166" s="18"/>
      <c r="AA166" s="10">
        <f t="shared" si="169"/>
        <v>12300</v>
      </c>
      <c r="AB166" s="10">
        <f t="shared" si="170"/>
        <v>12300</v>
      </c>
      <c r="AC166" s="10">
        <f t="shared" si="171"/>
        <v>0</v>
      </c>
      <c r="AD166" s="10">
        <f t="shared" si="166"/>
        <v>12300</v>
      </c>
      <c r="AE166" s="84">
        <v>5500</v>
      </c>
      <c r="AF166" s="84">
        <v>4000</v>
      </c>
      <c r="AG166" s="84">
        <v>2800</v>
      </c>
      <c r="AH166" s="87"/>
      <c r="AI166" s="87">
        <v>0</v>
      </c>
      <c r="AJ166" s="87">
        <v>0</v>
      </c>
    </row>
    <row r="167" spans="1:37" ht="33" customHeight="1" x14ac:dyDescent="0.25">
      <c r="A167" s="22">
        <v>10</v>
      </c>
      <c r="B167" s="5" t="s">
        <v>276</v>
      </c>
      <c r="C167" s="18"/>
      <c r="D167" s="18"/>
      <c r="E167" s="18"/>
      <c r="F167" s="9">
        <f>G167+H167+I167+J167</f>
        <v>0</v>
      </c>
      <c r="G167" s="18"/>
      <c r="H167" s="18"/>
      <c r="I167" s="18"/>
      <c r="J167" s="18"/>
      <c r="K167" s="18"/>
      <c r="L167" s="18"/>
      <c r="M167" s="18">
        <v>1</v>
      </c>
      <c r="N167" s="22"/>
      <c r="O167" s="23"/>
      <c r="P167" s="8"/>
      <c r="Q167" s="60"/>
      <c r="R167" s="37">
        <f t="shared" si="163"/>
        <v>0</v>
      </c>
      <c r="S167" s="82"/>
      <c r="T167" s="82"/>
      <c r="U167" s="6">
        <v>2023</v>
      </c>
      <c r="V167" s="6">
        <v>1</v>
      </c>
      <c r="W167" s="10">
        <f t="shared" si="164"/>
        <v>0</v>
      </c>
      <c r="X167" s="81">
        <v>0</v>
      </c>
      <c r="Y167" s="81">
        <v>0</v>
      </c>
      <c r="Z167" s="61"/>
      <c r="AA167" s="10">
        <f t="shared" si="169"/>
        <v>0</v>
      </c>
      <c r="AB167" s="10">
        <f t="shared" si="170"/>
        <v>0</v>
      </c>
      <c r="AC167" s="10">
        <f t="shared" si="171"/>
        <v>0</v>
      </c>
      <c r="AD167" s="10">
        <f t="shared" si="166"/>
        <v>0</v>
      </c>
      <c r="AE167" s="84"/>
      <c r="AF167" s="84"/>
      <c r="AG167" s="84"/>
      <c r="AH167" s="84"/>
      <c r="AI167" s="84"/>
      <c r="AJ167" s="84"/>
    </row>
    <row r="168" spans="1:37" ht="40.5" customHeight="1" x14ac:dyDescent="0.25">
      <c r="A168" s="22"/>
      <c r="B168" s="5" t="s">
        <v>134</v>
      </c>
      <c r="C168" s="18"/>
      <c r="D168" s="18"/>
      <c r="E168" s="18"/>
      <c r="F168" s="9">
        <f>G168+H168+I168+J168</f>
        <v>0</v>
      </c>
      <c r="G168" s="61"/>
      <c r="H168" s="18"/>
      <c r="I168" s="18"/>
      <c r="J168" s="18"/>
      <c r="K168" s="18"/>
      <c r="L168" s="18"/>
      <c r="M168" s="18"/>
      <c r="N168" s="22">
        <v>4</v>
      </c>
      <c r="O168" s="22">
        <v>18</v>
      </c>
      <c r="P168" s="8"/>
      <c r="Q168" s="60"/>
      <c r="R168" s="37">
        <f t="shared" si="163"/>
        <v>0</v>
      </c>
      <c r="S168" s="82"/>
      <c r="T168" s="82"/>
      <c r="U168" s="29"/>
      <c r="V168" s="29"/>
      <c r="W168" s="10">
        <f t="shared" si="164"/>
        <v>23700</v>
      </c>
      <c r="X168" s="87">
        <v>23700</v>
      </c>
      <c r="Y168" s="85">
        <v>0</v>
      </c>
      <c r="Z168" s="61">
        <v>0</v>
      </c>
      <c r="AA168" s="10">
        <f t="shared" si="169"/>
        <v>22700</v>
      </c>
      <c r="AB168" s="10">
        <v>22700</v>
      </c>
      <c r="AC168" s="10">
        <f t="shared" si="171"/>
        <v>0</v>
      </c>
      <c r="AD168" s="10">
        <f t="shared" si="166"/>
        <v>23700</v>
      </c>
      <c r="AE168" s="84"/>
      <c r="AF168" s="84"/>
      <c r="AG168" s="84"/>
      <c r="AH168" s="87"/>
      <c r="AI168" s="84">
        <v>11850</v>
      </c>
      <c r="AJ168" s="84">
        <v>11850</v>
      </c>
    </row>
    <row r="169" spans="1:37" ht="37.5" customHeight="1" x14ac:dyDescent="0.25">
      <c r="A169" s="22"/>
      <c r="B169" s="5" t="s">
        <v>160</v>
      </c>
      <c r="C169" s="18"/>
      <c r="D169" s="18"/>
      <c r="E169" s="18"/>
      <c r="F169" s="9">
        <f>G169+H169+I169+J169</f>
        <v>0</v>
      </c>
      <c r="G169" s="61"/>
      <c r="H169" s="18"/>
      <c r="I169" s="18"/>
      <c r="J169" s="18"/>
      <c r="K169" s="18"/>
      <c r="L169" s="18"/>
      <c r="M169" s="18"/>
      <c r="N169" s="22">
        <v>5</v>
      </c>
      <c r="O169" s="22"/>
      <c r="P169" s="8"/>
      <c r="Q169" s="60"/>
      <c r="R169" s="37">
        <f t="shared" si="163"/>
        <v>0</v>
      </c>
      <c r="S169" s="82"/>
      <c r="T169" s="82"/>
      <c r="U169" s="29"/>
      <c r="V169" s="29"/>
      <c r="W169" s="10">
        <f t="shared" si="164"/>
        <v>4600</v>
      </c>
      <c r="X169" s="87">
        <v>4600</v>
      </c>
      <c r="Y169" s="85">
        <v>0</v>
      </c>
      <c r="Z169" s="61">
        <v>0</v>
      </c>
      <c r="AA169" s="10">
        <f t="shared" si="169"/>
        <v>4600</v>
      </c>
      <c r="AB169" s="10">
        <f t="shared" si="170"/>
        <v>4600</v>
      </c>
      <c r="AC169" s="10">
        <f t="shared" si="171"/>
        <v>0</v>
      </c>
      <c r="AD169" s="10">
        <f t="shared" si="166"/>
        <v>4600</v>
      </c>
      <c r="AE169" s="84"/>
      <c r="AF169" s="84"/>
      <c r="AG169" s="84"/>
      <c r="AH169" s="84"/>
      <c r="AI169" s="84">
        <v>2300</v>
      </c>
      <c r="AJ169" s="84">
        <v>2300</v>
      </c>
    </row>
    <row r="170" spans="1:37" ht="63" customHeight="1" x14ac:dyDescent="0.25">
      <c r="A170" s="22">
        <v>11</v>
      </c>
      <c r="B170" s="5" t="s">
        <v>277</v>
      </c>
      <c r="C170" s="18"/>
      <c r="D170" s="18"/>
      <c r="E170" s="18"/>
      <c r="F170" s="9">
        <f>G170+H170+I170+J170</f>
        <v>0</v>
      </c>
      <c r="G170" s="18"/>
      <c r="H170" s="18"/>
      <c r="I170" s="18"/>
      <c r="J170" s="18"/>
      <c r="K170" s="18"/>
      <c r="L170" s="18"/>
      <c r="M170" s="18">
        <v>1</v>
      </c>
      <c r="N170" s="22">
        <v>10</v>
      </c>
      <c r="O170" s="22">
        <v>19</v>
      </c>
      <c r="P170" s="8"/>
      <c r="Q170" s="60"/>
      <c r="R170" s="37">
        <f t="shared" si="163"/>
        <v>0</v>
      </c>
      <c r="S170" s="82"/>
      <c r="T170" s="82"/>
      <c r="U170" s="6">
        <v>2023</v>
      </c>
      <c r="V170" s="6">
        <v>2</v>
      </c>
      <c r="W170" s="10">
        <f t="shared" si="164"/>
        <v>25200</v>
      </c>
      <c r="X170" s="87">
        <v>25200</v>
      </c>
      <c r="Y170" s="85">
        <v>0</v>
      </c>
      <c r="Z170" s="61">
        <v>0</v>
      </c>
      <c r="AA170" s="10">
        <f t="shared" si="169"/>
        <v>24200</v>
      </c>
      <c r="AB170" s="10">
        <v>24200</v>
      </c>
      <c r="AC170" s="10">
        <f t="shared" si="171"/>
        <v>0</v>
      </c>
      <c r="AD170" s="10">
        <f t="shared" si="166"/>
        <v>25200</v>
      </c>
      <c r="AE170" s="84"/>
      <c r="AF170" s="84"/>
      <c r="AG170" s="84"/>
      <c r="AH170" s="84"/>
      <c r="AI170" s="84">
        <v>12600</v>
      </c>
      <c r="AJ170" s="84">
        <v>12600</v>
      </c>
    </row>
    <row r="171" spans="1:37" ht="61.9" customHeight="1" x14ac:dyDescent="0.25">
      <c r="A171" s="22">
        <v>12</v>
      </c>
      <c r="B171" s="5" t="s">
        <v>278</v>
      </c>
      <c r="C171" s="18"/>
      <c r="D171" s="18"/>
      <c r="E171" s="18"/>
      <c r="F171" s="9">
        <f>G171+H171+I171+J171</f>
        <v>0</v>
      </c>
      <c r="G171" s="18"/>
      <c r="H171" s="18"/>
      <c r="I171" s="18"/>
      <c r="J171" s="18"/>
      <c r="K171" s="18"/>
      <c r="L171" s="18"/>
      <c r="M171" s="18">
        <v>1</v>
      </c>
      <c r="N171" s="22">
        <v>0</v>
      </c>
      <c r="O171" s="22">
        <v>11</v>
      </c>
      <c r="P171" s="8"/>
      <c r="Q171" s="60"/>
      <c r="R171" s="37">
        <f t="shared" si="163"/>
        <v>0</v>
      </c>
      <c r="S171" s="82"/>
      <c r="T171" s="82"/>
      <c r="U171" s="6">
        <v>2023</v>
      </c>
      <c r="V171" s="6">
        <v>2</v>
      </c>
      <c r="W171" s="10">
        <f t="shared" si="164"/>
        <v>22800</v>
      </c>
      <c r="X171" s="87">
        <v>22800</v>
      </c>
      <c r="Y171" s="85">
        <v>0</v>
      </c>
      <c r="Z171" s="61"/>
      <c r="AA171" s="10">
        <f t="shared" si="169"/>
        <v>21800</v>
      </c>
      <c r="AB171" s="10">
        <v>21800</v>
      </c>
      <c r="AC171" s="10">
        <f t="shared" si="171"/>
        <v>0</v>
      </c>
      <c r="AD171" s="10">
        <f t="shared" si="166"/>
        <v>22800</v>
      </c>
      <c r="AE171" s="84"/>
      <c r="AF171" s="84"/>
      <c r="AG171" s="84"/>
      <c r="AH171" s="84"/>
      <c r="AI171" s="84">
        <v>11400</v>
      </c>
      <c r="AJ171" s="84">
        <v>11400</v>
      </c>
    </row>
    <row r="172" spans="1:37" ht="37.5" customHeight="1" x14ac:dyDescent="0.25">
      <c r="A172" s="22"/>
      <c r="B172" s="51" t="s">
        <v>44</v>
      </c>
      <c r="C172" s="56">
        <f>C173+C174</f>
        <v>2</v>
      </c>
      <c r="D172" s="56">
        <f t="shared" ref="D172:AJ172" si="174">D173+D174</f>
        <v>12</v>
      </c>
      <c r="E172" s="56">
        <f t="shared" si="174"/>
        <v>38</v>
      </c>
      <c r="F172" s="56">
        <f t="shared" si="174"/>
        <v>0</v>
      </c>
      <c r="G172" s="56">
        <f t="shared" si="174"/>
        <v>43510</v>
      </c>
      <c r="H172" s="56">
        <f t="shared" si="174"/>
        <v>17549</v>
      </c>
      <c r="I172" s="56">
        <f t="shared" si="174"/>
        <v>0</v>
      </c>
      <c r="J172" s="56">
        <f t="shared" si="174"/>
        <v>0</v>
      </c>
      <c r="K172" s="56">
        <f t="shared" si="174"/>
        <v>25961</v>
      </c>
      <c r="L172" s="56"/>
      <c r="M172" s="56">
        <f t="shared" si="174"/>
        <v>2</v>
      </c>
      <c r="N172" s="56">
        <f t="shared" si="174"/>
        <v>13</v>
      </c>
      <c r="O172" s="56">
        <f t="shared" si="174"/>
        <v>39</v>
      </c>
      <c r="P172" s="56"/>
      <c r="Q172" s="56"/>
      <c r="R172" s="56">
        <f t="shared" si="174"/>
        <v>42382</v>
      </c>
      <c r="S172" s="56">
        <f t="shared" si="174"/>
        <v>41882</v>
      </c>
      <c r="T172" s="56">
        <f t="shared" si="174"/>
        <v>500</v>
      </c>
      <c r="U172" s="56"/>
      <c r="V172" s="56"/>
      <c r="W172" s="56">
        <f t="shared" si="174"/>
        <v>36470</v>
      </c>
      <c r="X172" s="56">
        <f>X173+X174</f>
        <v>35970</v>
      </c>
      <c r="Y172" s="56">
        <f t="shared" si="174"/>
        <v>500</v>
      </c>
      <c r="Z172" s="56">
        <f t="shared" si="174"/>
        <v>0</v>
      </c>
      <c r="AA172" s="56">
        <f t="shared" si="174"/>
        <v>36470.235000000001</v>
      </c>
      <c r="AB172" s="56">
        <f t="shared" si="174"/>
        <v>35970.235000000001</v>
      </c>
      <c r="AC172" s="56">
        <f t="shared" si="174"/>
        <v>500</v>
      </c>
      <c r="AD172" s="56">
        <f t="shared" si="174"/>
        <v>35970.235000000001</v>
      </c>
      <c r="AE172" s="56">
        <f t="shared" si="174"/>
        <v>1100</v>
      </c>
      <c r="AF172" s="56">
        <f t="shared" si="174"/>
        <v>6400</v>
      </c>
      <c r="AG172" s="56">
        <f t="shared" si="174"/>
        <v>10000</v>
      </c>
      <c r="AH172" s="56">
        <f t="shared" si="174"/>
        <v>18470.235000000001</v>
      </c>
      <c r="AI172" s="56">
        <f t="shared" si="174"/>
        <v>0</v>
      </c>
      <c r="AJ172" s="56">
        <f t="shared" si="174"/>
        <v>0</v>
      </c>
    </row>
    <row r="173" spans="1:37" ht="55.9" customHeight="1" x14ac:dyDescent="0.25">
      <c r="A173" s="22">
        <v>1</v>
      </c>
      <c r="B173" s="5" t="s">
        <v>158</v>
      </c>
      <c r="C173" s="22">
        <v>1</v>
      </c>
      <c r="D173" s="22">
        <v>10</v>
      </c>
      <c r="E173" s="22">
        <v>17</v>
      </c>
      <c r="F173" s="22"/>
      <c r="G173" s="9">
        <f t="shared" si="167"/>
        <v>25961</v>
      </c>
      <c r="H173" s="18"/>
      <c r="I173" s="18"/>
      <c r="J173" s="18"/>
      <c r="K173" s="18">
        <v>25961</v>
      </c>
      <c r="L173" s="6">
        <v>2023</v>
      </c>
      <c r="M173" s="22">
        <v>1</v>
      </c>
      <c r="N173" s="22">
        <v>10</v>
      </c>
      <c r="O173" s="22">
        <v>17</v>
      </c>
      <c r="P173" s="8"/>
      <c r="Q173" s="92" t="s">
        <v>377</v>
      </c>
      <c r="R173" s="37">
        <f t="shared" si="163"/>
        <v>20841</v>
      </c>
      <c r="S173" s="18">
        <v>20841</v>
      </c>
      <c r="T173" s="18">
        <v>0</v>
      </c>
      <c r="U173" s="6">
        <v>2021</v>
      </c>
      <c r="V173" s="6">
        <v>1</v>
      </c>
      <c r="W173" s="10">
        <f t="shared" si="164"/>
        <v>17200</v>
      </c>
      <c r="X173" s="87">
        <v>17200</v>
      </c>
      <c r="Y173" s="85">
        <v>0</v>
      </c>
      <c r="Z173" s="18"/>
      <c r="AA173" s="10">
        <f>AB173+AC173</f>
        <v>17200.235000000001</v>
      </c>
      <c r="AB173" s="87">
        <f t="shared" ref="AB173:AB174" si="175">AD173</f>
        <v>17200.235000000001</v>
      </c>
      <c r="AC173" s="85">
        <v>0</v>
      </c>
      <c r="AD173" s="10">
        <f t="shared" si="166"/>
        <v>17200.235000000001</v>
      </c>
      <c r="AE173" s="84">
        <v>300</v>
      </c>
      <c r="AF173" s="84">
        <v>1400</v>
      </c>
      <c r="AG173" s="84">
        <v>5000</v>
      </c>
      <c r="AH173" s="87">
        <v>10500.235000000002</v>
      </c>
      <c r="AI173" s="87">
        <v>0</v>
      </c>
      <c r="AJ173" s="87">
        <v>0</v>
      </c>
    </row>
    <row r="174" spans="1:37" ht="55.9" customHeight="1" x14ac:dyDescent="0.25">
      <c r="A174" s="22">
        <v>2</v>
      </c>
      <c r="B174" s="5" t="s">
        <v>159</v>
      </c>
      <c r="C174" s="22">
        <v>1</v>
      </c>
      <c r="D174" s="22">
        <v>2</v>
      </c>
      <c r="E174" s="22">
        <v>21</v>
      </c>
      <c r="F174" s="22"/>
      <c r="G174" s="9">
        <f t="shared" si="167"/>
        <v>17549</v>
      </c>
      <c r="H174" s="18">
        <v>17549</v>
      </c>
      <c r="I174" s="18"/>
      <c r="J174" s="18"/>
      <c r="K174" s="18"/>
      <c r="L174" s="6">
        <v>2022</v>
      </c>
      <c r="M174" s="22">
        <v>1</v>
      </c>
      <c r="N174" s="22">
        <v>3</v>
      </c>
      <c r="O174" s="22">
        <v>22</v>
      </c>
      <c r="P174" s="8"/>
      <c r="Q174" s="92" t="s">
        <v>378</v>
      </c>
      <c r="R174" s="37">
        <f t="shared" si="163"/>
        <v>21541</v>
      </c>
      <c r="S174" s="18">
        <v>21041</v>
      </c>
      <c r="T174" s="18">
        <f>21541-S174</f>
        <v>500</v>
      </c>
      <c r="U174" s="6">
        <v>2021</v>
      </c>
      <c r="V174" s="6">
        <v>1</v>
      </c>
      <c r="W174" s="10">
        <f t="shared" si="164"/>
        <v>19270</v>
      </c>
      <c r="X174" s="87">
        <v>18770</v>
      </c>
      <c r="Y174" s="85">
        <v>500</v>
      </c>
      <c r="Z174" s="18"/>
      <c r="AA174" s="10">
        <f>AB174+AC174</f>
        <v>19270</v>
      </c>
      <c r="AB174" s="87">
        <f t="shared" si="175"/>
        <v>18770</v>
      </c>
      <c r="AC174" s="85">
        <v>500</v>
      </c>
      <c r="AD174" s="10">
        <f t="shared" si="166"/>
        <v>18770</v>
      </c>
      <c r="AE174" s="84">
        <v>800</v>
      </c>
      <c r="AF174" s="84">
        <v>5000</v>
      </c>
      <c r="AG174" s="84">
        <v>5000</v>
      </c>
      <c r="AH174" s="87">
        <v>7970</v>
      </c>
      <c r="AI174" s="87">
        <v>0</v>
      </c>
      <c r="AJ174" s="87">
        <v>0</v>
      </c>
    </row>
    <row r="175" spans="1:37" ht="36.75" customHeight="1" x14ac:dyDescent="0.25">
      <c r="A175" s="11" t="s">
        <v>161</v>
      </c>
      <c r="B175" s="47" t="s">
        <v>162</v>
      </c>
      <c r="C175" s="49">
        <f>C176+C184+C200</f>
        <v>12</v>
      </c>
      <c r="D175" s="49">
        <f t="shared" ref="D175:K175" si="176">D176+D184+D200</f>
        <v>112</v>
      </c>
      <c r="E175" s="49">
        <f t="shared" si="176"/>
        <v>241</v>
      </c>
      <c r="F175" s="49">
        <f t="shared" si="176"/>
        <v>0</v>
      </c>
      <c r="G175" s="49">
        <f t="shared" si="176"/>
        <v>272681</v>
      </c>
      <c r="H175" s="49">
        <f t="shared" si="176"/>
        <v>190194</v>
      </c>
      <c r="I175" s="49">
        <f t="shared" si="176"/>
        <v>0</v>
      </c>
      <c r="J175" s="49">
        <f t="shared" si="176"/>
        <v>1596</v>
      </c>
      <c r="K175" s="49">
        <f t="shared" si="176"/>
        <v>80891</v>
      </c>
      <c r="L175" s="47"/>
      <c r="M175" s="49">
        <f>M176+M184+M200</f>
        <v>12</v>
      </c>
      <c r="N175" s="50">
        <f>N176+N184+N200</f>
        <v>114</v>
      </c>
      <c r="O175" s="50">
        <f>O176+O184+O200</f>
        <v>234</v>
      </c>
      <c r="P175" s="67"/>
      <c r="Q175" s="67"/>
      <c r="R175" s="50">
        <f t="shared" ref="R175:T175" si="177">R176+R184+R200</f>
        <v>377728</v>
      </c>
      <c r="S175" s="50">
        <f t="shared" si="177"/>
        <v>327449</v>
      </c>
      <c r="T175" s="50">
        <f t="shared" si="177"/>
        <v>50279</v>
      </c>
      <c r="U175" s="7"/>
      <c r="V175" s="7"/>
      <c r="W175" s="50">
        <f>W176+W184+W200</f>
        <v>318653</v>
      </c>
      <c r="X175" s="50">
        <f>X176+X184+X200</f>
        <v>268014</v>
      </c>
      <c r="Y175" s="50">
        <f>Y176+Y184+Y200</f>
        <v>50639</v>
      </c>
      <c r="Z175" s="10">
        <f>Z176+Z184+Z200</f>
        <v>0</v>
      </c>
      <c r="AA175" s="50">
        <f t="shared" ref="AA175:AG175" si="178">AA176+AA184+AA200</f>
        <v>318653</v>
      </c>
      <c r="AB175" s="50">
        <f t="shared" si="178"/>
        <v>268014</v>
      </c>
      <c r="AC175" s="50">
        <f t="shared" si="178"/>
        <v>50639</v>
      </c>
      <c r="AD175" s="50">
        <f t="shared" si="178"/>
        <v>268014</v>
      </c>
      <c r="AE175" s="50">
        <f t="shared" si="178"/>
        <v>67651</v>
      </c>
      <c r="AF175" s="50">
        <f t="shared" si="178"/>
        <v>38900</v>
      </c>
      <c r="AG175" s="50">
        <f t="shared" si="178"/>
        <v>58477</v>
      </c>
      <c r="AH175" s="50">
        <f t="shared" ref="AH175:AJ175" si="179">AH176+AH184+AH200</f>
        <v>5770</v>
      </c>
      <c r="AI175" s="50">
        <f t="shared" si="179"/>
        <v>91738</v>
      </c>
      <c r="AJ175" s="50">
        <f t="shared" si="179"/>
        <v>5478</v>
      </c>
      <c r="AK175" s="3"/>
    </row>
    <row r="176" spans="1:37" ht="33" customHeight="1" x14ac:dyDescent="0.25">
      <c r="A176" s="11"/>
      <c r="B176" s="24" t="s">
        <v>248</v>
      </c>
      <c r="C176" s="33">
        <f>SUM(C177:C183)</f>
        <v>2</v>
      </c>
      <c r="D176" s="33">
        <f t="shared" ref="D176:AG176" si="180">SUM(D177:D183)</f>
        <v>27</v>
      </c>
      <c r="E176" s="33">
        <f t="shared" si="180"/>
        <v>33</v>
      </c>
      <c r="F176" s="33">
        <f t="shared" si="180"/>
        <v>0</v>
      </c>
      <c r="G176" s="33">
        <f t="shared" si="180"/>
        <v>72489</v>
      </c>
      <c r="H176" s="33">
        <f t="shared" si="180"/>
        <v>72489</v>
      </c>
      <c r="I176" s="33">
        <f t="shared" si="180"/>
        <v>0</v>
      </c>
      <c r="J176" s="33">
        <f t="shared" si="180"/>
        <v>0</v>
      </c>
      <c r="K176" s="33">
        <f t="shared" si="180"/>
        <v>0</v>
      </c>
      <c r="L176" s="53"/>
      <c r="M176" s="33">
        <f>SUM(M177:M183)</f>
        <v>2</v>
      </c>
      <c r="N176" s="53">
        <f t="shared" si="180"/>
        <v>25</v>
      </c>
      <c r="O176" s="53">
        <f t="shared" si="180"/>
        <v>33</v>
      </c>
      <c r="P176" s="21"/>
      <c r="Q176" s="21"/>
      <c r="R176" s="53">
        <f t="shared" ref="R176:T176" si="181">SUM(R177:R183)</f>
        <v>83672</v>
      </c>
      <c r="S176" s="53">
        <f t="shared" si="181"/>
        <v>64400</v>
      </c>
      <c r="T176" s="53">
        <f t="shared" si="181"/>
        <v>19272</v>
      </c>
      <c r="U176" s="20"/>
      <c r="V176" s="20"/>
      <c r="W176" s="53">
        <f t="shared" si="180"/>
        <v>68410</v>
      </c>
      <c r="X176" s="53">
        <f>SUM(X177:X183)</f>
        <v>55272</v>
      </c>
      <c r="Y176" s="53">
        <f t="shared" si="180"/>
        <v>13138</v>
      </c>
      <c r="Z176" s="53">
        <f t="shared" si="180"/>
        <v>0</v>
      </c>
      <c r="AA176" s="53">
        <f t="shared" si="180"/>
        <v>68410</v>
      </c>
      <c r="AB176" s="53">
        <f t="shared" si="180"/>
        <v>55272</v>
      </c>
      <c r="AC176" s="53">
        <f t="shared" si="180"/>
        <v>13138</v>
      </c>
      <c r="AD176" s="53">
        <f t="shared" si="180"/>
        <v>55272</v>
      </c>
      <c r="AE176" s="53">
        <f t="shared" si="180"/>
        <v>15000</v>
      </c>
      <c r="AF176" s="53">
        <f t="shared" si="180"/>
        <v>2122</v>
      </c>
      <c r="AG176" s="53">
        <f t="shared" si="180"/>
        <v>12672</v>
      </c>
      <c r="AH176" s="53">
        <f t="shared" ref="AH176:AJ176" si="182">SUM(AH177:AH183)</f>
        <v>0</v>
      </c>
      <c r="AI176" s="53">
        <f t="shared" si="182"/>
        <v>20000</v>
      </c>
      <c r="AJ176" s="53">
        <f t="shared" si="182"/>
        <v>5478</v>
      </c>
    </row>
    <row r="177" spans="1:36" ht="48.6" customHeight="1" x14ac:dyDescent="0.25">
      <c r="A177" s="4">
        <v>1</v>
      </c>
      <c r="B177" s="25" t="s">
        <v>249</v>
      </c>
      <c r="C177" s="4">
        <v>1</v>
      </c>
      <c r="D177" s="4"/>
      <c r="E177" s="4"/>
      <c r="F177" s="4"/>
      <c r="G177" s="9">
        <f t="shared" ref="G177:G201" si="183">H177+I177+J177+K177</f>
        <v>0</v>
      </c>
      <c r="H177" s="9"/>
      <c r="I177" s="9"/>
      <c r="J177" s="9"/>
      <c r="K177" s="9"/>
      <c r="L177" s="7">
        <v>2021</v>
      </c>
      <c r="M177" s="4">
        <v>1</v>
      </c>
      <c r="N177" s="4"/>
      <c r="O177" s="4"/>
      <c r="P177" s="8"/>
      <c r="Q177" s="92" t="s">
        <v>350</v>
      </c>
      <c r="R177" s="37">
        <f>S177+T177</f>
        <v>33427</v>
      </c>
      <c r="S177" s="37">
        <v>28000</v>
      </c>
      <c r="T177" s="37">
        <v>5427</v>
      </c>
      <c r="U177" s="5">
        <v>2022</v>
      </c>
      <c r="V177" s="5">
        <v>2</v>
      </c>
      <c r="W177" s="10">
        <f t="shared" ref="W177:W201" si="184">X177+Y177+Z177</f>
        <v>21181</v>
      </c>
      <c r="X177" s="87">
        <v>18872</v>
      </c>
      <c r="Y177" s="85">
        <v>2309</v>
      </c>
      <c r="Z177" s="9"/>
      <c r="AA177" s="10">
        <f t="shared" ref="AA177:AA183" si="185">AB177+AC177</f>
        <v>21181</v>
      </c>
      <c r="AB177" s="87">
        <v>18872</v>
      </c>
      <c r="AC177" s="85">
        <v>2309</v>
      </c>
      <c r="AD177" s="10">
        <f t="shared" ref="AD177:AD201" si="186">AE177+AF177+AG177+AH177+AI177+AJ177</f>
        <v>18872</v>
      </c>
      <c r="AE177" s="10">
        <v>15000</v>
      </c>
      <c r="AF177" s="10">
        <v>1200</v>
      </c>
      <c r="AG177" s="10">
        <v>2672</v>
      </c>
      <c r="AH177" s="10"/>
      <c r="AI177" s="10"/>
      <c r="AJ177" s="10"/>
    </row>
    <row r="178" spans="1:36" ht="35.450000000000003" customHeight="1" x14ac:dyDescent="0.25">
      <c r="A178" s="4"/>
      <c r="B178" s="25" t="s">
        <v>250</v>
      </c>
      <c r="C178" s="4"/>
      <c r="D178" s="4">
        <v>8</v>
      </c>
      <c r="E178" s="4">
        <v>15</v>
      </c>
      <c r="F178" s="4"/>
      <c r="G178" s="9">
        <f t="shared" si="183"/>
        <v>23913</v>
      </c>
      <c r="H178" s="9">
        <v>23913</v>
      </c>
      <c r="I178" s="9"/>
      <c r="J178" s="9"/>
      <c r="K178" s="9"/>
      <c r="L178" s="7"/>
      <c r="M178" s="4"/>
      <c r="N178" s="4">
        <f>D178</f>
        <v>8</v>
      </c>
      <c r="O178" s="4">
        <f>E178</f>
        <v>15</v>
      </c>
      <c r="P178" s="8"/>
      <c r="Q178" s="13"/>
      <c r="R178" s="37">
        <f t="shared" ref="R178:R201" si="187">S178+T178</f>
        <v>0</v>
      </c>
      <c r="S178" s="30"/>
      <c r="T178" s="30"/>
      <c r="U178" s="5"/>
      <c r="V178" s="5"/>
      <c r="W178" s="10">
        <f t="shared" si="184"/>
        <v>0</v>
      </c>
      <c r="X178" s="9"/>
      <c r="Y178" s="9"/>
      <c r="Z178" s="9"/>
      <c r="AA178" s="10">
        <f t="shared" si="185"/>
        <v>0</v>
      </c>
      <c r="AB178" s="10"/>
      <c r="AC178" s="10">
        <f>Y178</f>
        <v>0</v>
      </c>
      <c r="AD178" s="10">
        <f t="shared" si="186"/>
        <v>0</v>
      </c>
      <c r="AE178" s="10"/>
      <c r="AF178" s="10"/>
      <c r="AG178" s="10"/>
      <c r="AH178" s="10"/>
      <c r="AI178" s="10"/>
      <c r="AJ178" s="10"/>
    </row>
    <row r="179" spans="1:36" ht="45.6" customHeight="1" x14ac:dyDescent="0.25">
      <c r="A179" s="4"/>
      <c r="B179" s="25" t="s">
        <v>287</v>
      </c>
      <c r="C179" s="4"/>
      <c r="D179" s="4">
        <v>2</v>
      </c>
      <c r="E179" s="4">
        <v>0</v>
      </c>
      <c r="F179" s="4"/>
      <c r="G179" s="9">
        <f t="shared" si="183"/>
        <v>4088</v>
      </c>
      <c r="H179" s="9">
        <v>4088</v>
      </c>
      <c r="I179" s="9"/>
      <c r="J179" s="9"/>
      <c r="K179" s="9"/>
      <c r="L179" s="7"/>
      <c r="M179" s="4"/>
      <c r="N179" s="4">
        <f>D179</f>
        <v>2</v>
      </c>
      <c r="O179" s="4">
        <f>E179</f>
        <v>0</v>
      </c>
      <c r="P179" s="8"/>
      <c r="Q179" s="8"/>
      <c r="R179" s="37">
        <f t="shared" si="187"/>
        <v>0</v>
      </c>
      <c r="S179" s="37"/>
      <c r="T179" s="37"/>
      <c r="U179" s="5"/>
      <c r="V179" s="5"/>
      <c r="W179" s="10">
        <f t="shared" si="184"/>
        <v>0</v>
      </c>
      <c r="X179" s="9"/>
      <c r="Y179" s="9"/>
      <c r="Z179" s="9"/>
      <c r="AA179" s="10">
        <f t="shared" si="185"/>
        <v>0</v>
      </c>
      <c r="AB179" s="10"/>
      <c r="AC179" s="10">
        <f>Y179</f>
        <v>0</v>
      </c>
      <c r="AD179" s="10">
        <f t="shared" si="186"/>
        <v>0</v>
      </c>
      <c r="AE179" s="10"/>
      <c r="AF179" s="10"/>
      <c r="AG179" s="10"/>
      <c r="AH179" s="10"/>
      <c r="AI179" s="10"/>
      <c r="AJ179" s="10"/>
    </row>
    <row r="180" spans="1:36" ht="46.15" customHeight="1" x14ac:dyDescent="0.25">
      <c r="A180" s="4">
        <v>2</v>
      </c>
      <c r="B180" s="25" t="s">
        <v>251</v>
      </c>
      <c r="C180" s="4">
        <v>1</v>
      </c>
      <c r="D180" s="4"/>
      <c r="E180" s="4"/>
      <c r="F180" s="4"/>
      <c r="G180" s="9">
        <f t="shared" si="183"/>
        <v>0</v>
      </c>
      <c r="H180" s="9"/>
      <c r="I180" s="9"/>
      <c r="J180" s="9"/>
      <c r="K180" s="9"/>
      <c r="L180" s="7">
        <v>2021</v>
      </c>
      <c r="M180" s="4">
        <v>1</v>
      </c>
      <c r="N180" s="4"/>
      <c r="O180" s="4"/>
      <c r="P180" s="8"/>
      <c r="Q180" s="96" t="s">
        <v>447</v>
      </c>
      <c r="R180" s="97">
        <v>50245</v>
      </c>
      <c r="S180" s="98">
        <v>36400</v>
      </c>
      <c r="T180" s="98">
        <f>50245-36400</f>
        <v>13845</v>
      </c>
      <c r="U180" s="5">
        <v>2023</v>
      </c>
      <c r="V180" s="5">
        <v>2</v>
      </c>
      <c r="W180" s="10">
        <f t="shared" si="184"/>
        <v>47229</v>
      </c>
      <c r="X180" s="9">
        <v>36400</v>
      </c>
      <c r="Y180" s="9">
        <v>10829</v>
      </c>
      <c r="Z180" s="9"/>
      <c r="AA180" s="10">
        <f t="shared" si="185"/>
        <v>47229</v>
      </c>
      <c r="AB180" s="10">
        <v>36400</v>
      </c>
      <c r="AC180" s="10">
        <v>10829</v>
      </c>
      <c r="AD180" s="10">
        <f t="shared" si="186"/>
        <v>36400</v>
      </c>
      <c r="AE180" s="10"/>
      <c r="AF180" s="10">
        <v>922</v>
      </c>
      <c r="AG180" s="10">
        <v>10000</v>
      </c>
      <c r="AH180" s="10"/>
      <c r="AI180" s="10">
        <v>20000</v>
      </c>
      <c r="AJ180" s="10">
        <v>5478</v>
      </c>
    </row>
    <row r="181" spans="1:36" ht="48" customHeight="1" x14ac:dyDescent="0.25">
      <c r="A181" s="4"/>
      <c r="B181" s="25" t="s">
        <v>134</v>
      </c>
      <c r="C181" s="4"/>
      <c r="D181" s="4">
        <v>13</v>
      </c>
      <c r="E181" s="4">
        <v>18</v>
      </c>
      <c r="F181" s="4"/>
      <c r="G181" s="9">
        <f t="shared" si="183"/>
        <v>36312</v>
      </c>
      <c r="H181" s="9">
        <v>36312</v>
      </c>
      <c r="I181" s="9"/>
      <c r="J181" s="9"/>
      <c r="K181" s="9"/>
      <c r="L181" s="7"/>
      <c r="M181" s="4"/>
      <c r="N181" s="4">
        <f>D181</f>
        <v>13</v>
      </c>
      <c r="O181" s="4">
        <f>E181</f>
        <v>18</v>
      </c>
      <c r="P181" s="8"/>
      <c r="Q181" s="13"/>
      <c r="R181" s="37">
        <f t="shared" si="187"/>
        <v>0</v>
      </c>
      <c r="S181" s="30"/>
      <c r="T181" s="30"/>
      <c r="U181" s="5"/>
      <c r="V181" s="5"/>
      <c r="W181" s="10">
        <f t="shared" si="184"/>
        <v>0</v>
      </c>
      <c r="X181" s="9"/>
      <c r="Y181" s="9"/>
      <c r="Z181" s="9"/>
      <c r="AA181" s="10">
        <f t="shared" si="185"/>
        <v>0</v>
      </c>
      <c r="AB181" s="10"/>
      <c r="AC181" s="10"/>
      <c r="AD181" s="10">
        <f t="shared" si="186"/>
        <v>0</v>
      </c>
      <c r="AE181" s="10"/>
      <c r="AF181" s="10"/>
      <c r="AG181" s="10"/>
      <c r="AH181" s="10"/>
      <c r="AI181" s="10"/>
      <c r="AJ181" s="10"/>
    </row>
    <row r="182" spans="1:36" ht="34.5" customHeight="1" x14ac:dyDescent="0.25">
      <c r="A182" s="4"/>
      <c r="B182" s="25" t="s">
        <v>252</v>
      </c>
      <c r="C182" s="4"/>
      <c r="D182" s="4">
        <v>2</v>
      </c>
      <c r="E182" s="4">
        <v>0</v>
      </c>
      <c r="F182" s="4"/>
      <c r="G182" s="9">
        <f t="shared" si="183"/>
        <v>4088</v>
      </c>
      <c r="H182" s="9">
        <v>4088</v>
      </c>
      <c r="I182" s="9"/>
      <c r="J182" s="9"/>
      <c r="K182" s="9"/>
      <c r="L182" s="7"/>
      <c r="M182" s="4"/>
      <c r="N182" s="4">
        <f>D182</f>
        <v>2</v>
      </c>
      <c r="O182" s="4">
        <f>E182</f>
        <v>0</v>
      </c>
      <c r="P182" s="8"/>
      <c r="Q182" s="8"/>
      <c r="R182" s="37">
        <f t="shared" si="187"/>
        <v>0</v>
      </c>
      <c r="S182" s="37"/>
      <c r="T182" s="37"/>
      <c r="U182" s="5"/>
      <c r="V182" s="5"/>
      <c r="W182" s="10">
        <f t="shared" si="184"/>
        <v>0</v>
      </c>
      <c r="X182" s="9"/>
      <c r="Y182" s="9"/>
      <c r="Z182" s="9"/>
      <c r="AA182" s="10">
        <f t="shared" si="185"/>
        <v>0</v>
      </c>
      <c r="AB182" s="10"/>
      <c r="AC182" s="10"/>
      <c r="AD182" s="10">
        <f t="shared" si="186"/>
        <v>0</v>
      </c>
      <c r="AE182" s="10"/>
      <c r="AF182" s="10"/>
      <c r="AG182" s="10"/>
      <c r="AH182" s="10"/>
      <c r="AI182" s="10"/>
      <c r="AJ182" s="10"/>
    </row>
    <row r="183" spans="1:36" ht="34.5" customHeight="1" x14ac:dyDescent="0.25">
      <c r="A183" s="4"/>
      <c r="B183" s="25" t="s">
        <v>253</v>
      </c>
      <c r="C183" s="4"/>
      <c r="D183" s="4">
        <v>2</v>
      </c>
      <c r="E183" s="4">
        <v>0</v>
      </c>
      <c r="F183" s="4"/>
      <c r="G183" s="9">
        <f t="shared" si="183"/>
        <v>4088</v>
      </c>
      <c r="H183" s="9">
        <v>4088</v>
      </c>
      <c r="I183" s="9"/>
      <c r="J183" s="9"/>
      <c r="K183" s="9"/>
      <c r="L183" s="7"/>
      <c r="M183" s="4"/>
      <c r="N183" s="4"/>
      <c r="O183" s="4">
        <f>E183</f>
        <v>0</v>
      </c>
      <c r="P183" s="8"/>
      <c r="Q183" s="8"/>
      <c r="R183" s="37">
        <f t="shared" si="187"/>
        <v>0</v>
      </c>
      <c r="S183" s="37"/>
      <c r="T183" s="37"/>
      <c r="U183" s="5"/>
      <c r="V183" s="5"/>
      <c r="W183" s="10">
        <f t="shared" si="184"/>
        <v>0</v>
      </c>
      <c r="X183" s="9">
        <v>0</v>
      </c>
      <c r="Y183" s="9">
        <v>0</v>
      </c>
      <c r="Z183" s="9"/>
      <c r="AA183" s="10">
        <f t="shared" si="185"/>
        <v>0</v>
      </c>
      <c r="AB183" s="10">
        <f>X183</f>
        <v>0</v>
      </c>
      <c r="AC183" s="10">
        <f>Y183</f>
        <v>0</v>
      </c>
      <c r="AD183" s="10">
        <f t="shared" si="186"/>
        <v>0</v>
      </c>
      <c r="AE183" s="10"/>
      <c r="AF183" s="10"/>
      <c r="AG183" s="10"/>
      <c r="AH183" s="10"/>
      <c r="AI183" s="10"/>
      <c r="AJ183" s="10"/>
    </row>
    <row r="184" spans="1:36" ht="45.75" customHeight="1" x14ac:dyDescent="0.25">
      <c r="A184" s="4"/>
      <c r="B184" s="24" t="s">
        <v>37</v>
      </c>
      <c r="C184" s="33">
        <f>SUM(C185:C199)</f>
        <v>9</v>
      </c>
      <c r="D184" s="33">
        <f t="shared" ref="D184:AJ184" si="188">SUM(D185:D199)</f>
        <v>85</v>
      </c>
      <c r="E184" s="33">
        <f t="shared" si="188"/>
        <v>178</v>
      </c>
      <c r="F184" s="33">
        <f t="shared" si="188"/>
        <v>0</v>
      </c>
      <c r="G184" s="33">
        <f t="shared" si="188"/>
        <v>175207</v>
      </c>
      <c r="H184" s="33">
        <f t="shared" si="188"/>
        <v>117705</v>
      </c>
      <c r="I184" s="33">
        <f t="shared" si="188"/>
        <v>0</v>
      </c>
      <c r="J184" s="33">
        <f t="shared" si="188"/>
        <v>600</v>
      </c>
      <c r="K184" s="33">
        <f t="shared" si="188"/>
        <v>56902</v>
      </c>
      <c r="L184" s="20"/>
      <c r="M184" s="33">
        <f t="shared" si="188"/>
        <v>9</v>
      </c>
      <c r="N184" s="53">
        <f t="shared" si="188"/>
        <v>87</v>
      </c>
      <c r="O184" s="53">
        <f t="shared" si="188"/>
        <v>171</v>
      </c>
      <c r="P184" s="21"/>
      <c r="Q184" s="21"/>
      <c r="R184" s="53">
        <f t="shared" si="188"/>
        <v>249126</v>
      </c>
      <c r="S184" s="53">
        <f t="shared" si="188"/>
        <v>223670</v>
      </c>
      <c r="T184" s="53">
        <f t="shared" si="188"/>
        <v>25456</v>
      </c>
      <c r="U184" s="20"/>
      <c r="V184" s="20"/>
      <c r="W184" s="53">
        <f t="shared" si="188"/>
        <v>214292</v>
      </c>
      <c r="X184" s="53">
        <f>SUM(X185:X199)</f>
        <v>182342</v>
      </c>
      <c r="Y184" s="53">
        <f t="shared" si="188"/>
        <v>31950</v>
      </c>
      <c r="Z184" s="53">
        <f t="shared" si="188"/>
        <v>0</v>
      </c>
      <c r="AA184" s="53">
        <f t="shared" si="188"/>
        <v>214292</v>
      </c>
      <c r="AB184" s="53">
        <f t="shared" si="188"/>
        <v>182342</v>
      </c>
      <c r="AC184" s="53">
        <f t="shared" si="188"/>
        <v>31950</v>
      </c>
      <c r="AD184" s="53">
        <f t="shared" si="188"/>
        <v>182342</v>
      </c>
      <c r="AE184" s="53">
        <f t="shared" si="188"/>
        <v>52151</v>
      </c>
      <c r="AF184" s="53">
        <f t="shared" si="188"/>
        <v>26032</v>
      </c>
      <c r="AG184" s="53">
        <f t="shared" si="188"/>
        <v>38144</v>
      </c>
      <c r="AH184" s="53">
        <f t="shared" si="188"/>
        <v>5770</v>
      </c>
      <c r="AI184" s="53">
        <f t="shared" si="188"/>
        <v>60245</v>
      </c>
      <c r="AJ184" s="53">
        <f t="shared" si="188"/>
        <v>0</v>
      </c>
    </row>
    <row r="185" spans="1:36" ht="59.45" customHeight="1" x14ac:dyDescent="0.25">
      <c r="A185" s="4">
        <v>1</v>
      </c>
      <c r="B185" s="26" t="s">
        <v>254</v>
      </c>
      <c r="C185" s="4">
        <v>1</v>
      </c>
      <c r="D185" s="4">
        <v>0</v>
      </c>
      <c r="E185" s="4">
        <v>21</v>
      </c>
      <c r="F185" s="4"/>
      <c r="G185" s="9">
        <f t="shared" si="183"/>
        <v>12765</v>
      </c>
      <c r="H185" s="9">
        <v>12765</v>
      </c>
      <c r="I185" s="9"/>
      <c r="J185" s="9"/>
      <c r="K185" s="9"/>
      <c r="L185" s="7">
        <v>2021</v>
      </c>
      <c r="M185" s="4">
        <v>1</v>
      </c>
      <c r="N185" s="4">
        <f t="shared" ref="N185:O190" si="189">D185</f>
        <v>0</v>
      </c>
      <c r="O185" s="4">
        <f t="shared" si="189"/>
        <v>21</v>
      </c>
      <c r="P185" s="8"/>
      <c r="Q185" s="92" t="s">
        <v>349</v>
      </c>
      <c r="R185" s="37">
        <f t="shared" si="187"/>
        <v>14624</v>
      </c>
      <c r="S185" s="37">
        <v>14624</v>
      </c>
      <c r="T185" s="37"/>
      <c r="U185" s="5">
        <v>2021</v>
      </c>
      <c r="V185" s="5">
        <v>1</v>
      </c>
      <c r="W185" s="10">
        <f t="shared" si="184"/>
        <v>12641</v>
      </c>
      <c r="X185" s="87">
        <v>12641</v>
      </c>
      <c r="Y185" s="85">
        <v>0</v>
      </c>
      <c r="Z185" s="9"/>
      <c r="AA185" s="10">
        <f t="shared" ref="AA185:AA199" si="190">AB185+AC185</f>
        <v>12641</v>
      </c>
      <c r="AB185" s="87">
        <v>12641</v>
      </c>
      <c r="AC185" s="85">
        <v>0</v>
      </c>
      <c r="AD185" s="10">
        <f t="shared" si="186"/>
        <v>12641</v>
      </c>
      <c r="AE185" s="81">
        <v>9000</v>
      </c>
      <c r="AF185" s="81">
        <v>3000</v>
      </c>
      <c r="AG185" s="81">
        <v>657</v>
      </c>
      <c r="AH185" s="87">
        <v>-16</v>
      </c>
      <c r="AI185" s="87">
        <v>0</v>
      </c>
      <c r="AJ185" s="87">
        <v>0</v>
      </c>
    </row>
    <row r="186" spans="1:36" ht="50.45" customHeight="1" x14ac:dyDescent="0.25">
      <c r="A186" s="4">
        <v>2</v>
      </c>
      <c r="B186" s="26" t="s">
        <v>255</v>
      </c>
      <c r="C186" s="4">
        <v>1</v>
      </c>
      <c r="D186" s="4">
        <v>13</v>
      </c>
      <c r="E186" s="4">
        <v>20</v>
      </c>
      <c r="F186" s="4"/>
      <c r="G186" s="9">
        <f t="shared" si="183"/>
        <v>21700</v>
      </c>
      <c r="H186" s="9">
        <v>21700</v>
      </c>
      <c r="I186" s="9"/>
      <c r="J186" s="9"/>
      <c r="K186" s="9"/>
      <c r="L186" s="7">
        <v>2021</v>
      </c>
      <c r="M186" s="4">
        <v>1</v>
      </c>
      <c r="N186" s="4">
        <f t="shared" si="189"/>
        <v>13</v>
      </c>
      <c r="O186" s="4">
        <f t="shared" si="189"/>
        <v>20</v>
      </c>
      <c r="P186" s="8"/>
      <c r="Q186" s="92" t="s">
        <v>352</v>
      </c>
      <c r="R186" s="37">
        <f t="shared" si="187"/>
        <v>24965</v>
      </c>
      <c r="S186" s="37">
        <v>24965</v>
      </c>
      <c r="T186" s="37"/>
      <c r="U186" s="5">
        <v>2021</v>
      </c>
      <c r="V186" s="5">
        <v>1</v>
      </c>
      <c r="W186" s="10">
        <f t="shared" si="184"/>
        <v>17700</v>
      </c>
      <c r="X186" s="87">
        <v>17700</v>
      </c>
      <c r="Y186" s="85">
        <v>0</v>
      </c>
      <c r="Z186" s="9"/>
      <c r="AA186" s="10">
        <f t="shared" si="190"/>
        <v>17700</v>
      </c>
      <c r="AB186" s="87">
        <v>17700</v>
      </c>
      <c r="AC186" s="85">
        <v>0</v>
      </c>
      <c r="AD186" s="10">
        <f t="shared" si="186"/>
        <v>17700</v>
      </c>
      <c r="AE186" s="81">
        <v>11000</v>
      </c>
      <c r="AF186" s="81">
        <v>4000</v>
      </c>
      <c r="AG186" s="81">
        <v>2500</v>
      </c>
      <c r="AH186" s="87">
        <v>200</v>
      </c>
      <c r="AI186" s="87">
        <v>0</v>
      </c>
      <c r="AJ186" s="87">
        <v>0</v>
      </c>
    </row>
    <row r="187" spans="1:36" ht="47.45" customHeight="1" x14ac:dyDescent="0.25">
      <c r="A187" s="4">
        <v>3</v>
      </c>
      <c r="B187" s="26" t="s">
        <v>256</v>
      </c>
      <c r="C187" s="4">
        <v>1</v>
      </c>
      <c r="D187" s="4">
        <v>0</v>
      </c>
      <c r="E187" s="4">
        <v>19</v>
      </c>
      <c r="F187" s="4"/>
      <c r="G187" s="9">
        <f t="shared" si="183"/>
        <v>12400</v>
      </c>
      <c r="H187" s="9">
        <v>12400</v>
      </c>
      <c r="I187" s="9"/>
      <c r="J187" s="9"/>
      <c r="K187" s="9"/>
      <c r="L187" s="7">
        <v>2021</v>
      </c>
      <c r="M187" s="4">
        <v>1</v>
      </c>
      <c r="N187" s="4">
        <f t="shared" si="189"/>
        <v>0</v>
      </c>
      <c r="O187" s="4">
        <f t="shared" si="189"/>
        <v>19</v>
      </c>
      <c r="P187" s="8"/>
      <c r="Q187" s="92" t="s">
        <v>353</v>
      </c>
      <c r="R187" s="37">
        <f t="shared" si="187"/>
        <v>17841</v>
      </c>
      <c r="S187" s="37">
        <v>14900</v>
      </c>
      <c r="T187" s="37">
        <v>2941</v>
      </c>
      <c r="U187" s="5">
        <v>2021</v>
      </c>
      <c r="V187" s="5">
        <v>2</v>
      </c>
      <c r="W187" s="10">
        <f t="shared" si="184"/>
        <v>17841</v>
      </c>
      <c r="X187" s="87">
        <v>14900</v>
      </c>
      <c r="Y187" s="85">
        <v>2941</v>
      </c>
      <c r="Z187" s="9"/>
      <c r="AA187" s="10">
        <f t="shared" si="190"/>
        <v>17841</v>
      </c>
      <c r="AB187" s="87">
        <v>14900</v>
      </c>
      <c r="AC187" s="85">
        <v>2941</v>
      </c>
      <c r="AD187" s="10">
        <f t="shared" si="186"/>
        <v>14900</v>
      </c>
      <c r="AE187" s="81">
        <v>6200</v>
      </c>
      <c r="AF187" s="81">
        <v>2000</v>
      </c>
      <c r="AG187" s="81">
        <v>2300</v>
      </c>
      <c r="AH187" s="87">
        <v>-1681</v>
      </c>
      <c r="AI187" s="87">
        <v>6081</v>
      </c>
      <c r="AJ187" s="87">
        <v>0</v>
      </c>
    </row>
    <row r="188" spans="1:36" ht="42.6" customHeight="1" x14ac:dyDescent="0.25">
      <c r="A188" s="4">
        <v>4</v>
      </c>
      <c r="B188" s="26" t="s">
        <v>257</v>
      </c>
      <c r="C188" s="4">
        <v>1</v>
      </c>
      <c r="D188" s="4">
        <v>10</v>
      </c>
      <c r="E188" s="4">
        <v>20</v>
      </c>
      <c r="F188" s="4"/>
      <c r="G188" s="9">
        <f t="shared" si="183"/>
        <v>19883</v>
      </c>
      <c r="H188" s="9">
        <v>19883</v>
      </c>
      <c r="I188" s="9"/>
      <c r="J188" s="9"/>
      <c r="K188" s="9"/>
      <c r="L188" s="7">
        <v>2022</v>
      </c>
      <c r="M188" s="4">
        <v>1</v>
      </c>
      <c r="N188" s="4">
        <f t="shared" si="189"/>
        <v>10</v>
      </c>
      <c r="O188" s="4">
        <f t="shared" si="189"/>
        <v>20</v>
      </c>
      <c r="P188" s="8"/>
      <c r="Q188" s="99" t="s">
        <v>358</v>
      </c>
      <c r="R188" s="37">
        <f t="shared" si="187"/>
        <v>23338</v>
      </c>
      <c r="S188" s="100">
        <v>23338</v>
      </c>
      <c r="T188" s="37"/>
      <c r="U188" s="5">
        <v>2022</v>
      </c>
      <c r="V188" s="5">
        <v>1</v>
      </c>
      <c r="W188" s="10">
        <f t="shared" si="184"/>
        <v>19700</v>
      </c>
      <c r="X188" s="87">
        <v>19700</v>
      </c>
      <c r="Y188" s="85">
        <v>0</v>
      </c>
      <c r="Z188" s="9"/>
      <c r="AA188" s="10">
        <f t="shared" si="190"/>
        <v>19700</v>
      </c>
      <c r="AB188" s="87">
        <v>19700</v>
      </c>
      <c r="AC188" s="85">
        <v>0</v>
      </c>
      <c r="AD188" s="10">
        <f t="shared" si="186"/>
        <v>19700</v>
      </c>
      <c r="AE188" s="81">
        <v>0</v>
      </c>
      <c r="AF188" s="81">
        <v>5000</v>
      </c>
      <c r="AG188" s="81">
        <v>7000</v>
      </c>
      <c r="AH188" s="87">
        <v>6300</v>
      </c>
      <c r="AI188" s="87">
        <v>1400</v>
      </c>
      <c r="AJ188" s="87">
        <v>0</v>
      </c>
    </row>
    <row r="189" spans="1:36" ht="50.45" customHeight="1" x14ac:dyDescent="0.25">
      <c r="A189" s="4">
        <v>5</v>
      </c>
      <c r="B189" s="26" t="s">
        <v>258</v>
      </c>
      <c r="C189" s="4">
        <v>1</v>
      </c>
      <c r="D189" s="4">
        <v>11</v>
      </c>
      <c r="E189" s="4">
        <v>21</v>
      </c>
      <c r="F189" s="4"/>
      <c r="G189" s="9">
        <f t="shared" si="183"/>
        <v>21367</v>
      </c>
      <c r="H189" s="9">
        <v>20767</v>
      </c>
      <c r="I189" s="9"/>
      <c r="J189" s="9">
        <v>600</v>
      </c>
      <c r="K189" s="9"/>
      <c r="L189" s="7">
        <v>2022</v>
      </c>
      <c r="M189" s="4">
        <v>1</v>
      </c>
      <c r="N189" s="4">
        <f t="shared" si="189"/>
        <v>11</v>
      </c>
      <c r="O189" s="4">
        <f t="shared" si="189"/>
        <v>21</v>
      </c>
      <c r="P189" s="8"/>
      <c r="Q189" s="92" t="s">
        <v>351</v>
      </c>
      <c r="R189" s="37">
        <f t="shared" si="187"/>
        <v>27881</v>
      </c>
      <c r="S189" s="37">
        <f>27881-2000</f>
        <v>25881</v>
      </c>
      <c r="T189" s="37">
        <v>2000</v>
      </c>
      <c r="U189" s="5">
        <v>2021</v>
      </c>
      <c r="V189" s="5">
        <v>2</v>
      </c>
      <c r="W189" s="10">
        <f t="shared" si="184"/>
        <v>23446</v>
      </c>
      <c r="X189" s="87">
        <v>22600</v>
      </c>
      <c r="Y189" s="85">
        <v>846</v>
      </c>
      <c r="Z189" s="9"/>
      <c r="AA189" s="10">
        <f t="shared" si="190"/>
        <v>23446</v>
      </c>
      <c r="AB189" s="87">
        <v>22600</v>
      </c>
      <c r="AC189" s="85">
        <v>846</v>
      </c>
      <c r="AD189" s="10">
        <f t="shared" si="186"/>
        <v>22600</v>
      </c>
      <c r="AE189" s="81">
        <v>10451</v>
      </c>
      <c r="AF189" s="81">
        <v>3800</v>
      </c>
      <c r="AG189" s="81">
        <v>6687</v>
      </c>
      <c r="AH189" s="87">
        <v>1662</v>
      </c>
      <c r="AI189" s="87">
        <v>0</v>
      </c>
      <c r="AJ189" s="87">
        <v>0</v>
      </c>
    </row>
    <row r="190" spans="1:36" ht="38.450000000000003" customHeight="1" x14ac:dyDescent="0.25">
      <c r="A190" s="22">
        <v>6</v>
      </c>
      <c r="B190" s="26" t="s">
        <v>259</v>
      </c>
      <c r="C190" s="22">
        <v>1</v>
      </c>
      <c r="D190" s="22"/>
      <c r="E190" s="22"/>
      <c r="F190" s="22"/>
      <c r="G190" s="9">
        <f t="shared" si="183"/>
        <v>0</v>
      </c>
      <c r="H190" s="18"/>
      <c r="I190" s="18"/>
      <c r="J190" s="18"/>
      <c r="K190" s="18"/>
      <c r="L190" s="6">
        <v>2024</v>
      </c>
      <c r="M190" s="22">
        <v>1</v>
      </c>
      <c r="N190" s="4">
        <f t="shared" si="189"/>
        <v>0</v>
      </c>
      <c r="O190" s="4">
        <f t="shared" si="189"/>
        <v>0</v>
      </c>
      <c r="P190" s="8"/>
      <c r="Q190" s="99" t="s">
        <v>361</v>
      </c>
      <c r="R190" s="37">
        <f t="shared" si="187"/>
        <v>38303</v>
      </c>
      <c r="S190" s="37">
        <f>38303-12412</f>
        <v>25891</v>
      </c>
      <c r="T190" s="37">
        <v>12412</v>
      </c>
      <c r="U190" s="23">
        <v>2023</v>
      </c>
      <c r="V190" s="23">
        <v>2</v>
      </c>
      <c r="W190" s="10">
        <f t="shared" si="184"/>
        <v>32312</v>
      </c>
      <c r="X190" s="87">
        <v>19900</v>
      </c>
      <c r="Y190" s="85">
        <v>12412</v>
      </c>
      <c r="Z190" s="18"/>
      <c r="AA190" s="10">
        <f t="shared" si="190"/>
        <v>32312</v>
      </c>
      <c r="AB190" s="87">
        <v>19900</v>
      </c>
      <c r="AC190" s="85">
        <v>12412</v>
      </c>
      <c r="AD190" s="10">
        <f t="shared" si="186"/>
        <v>19900</v>
      </c>
      <c r="AE190" s="84"/>
      <c r="AF190" s="87">
        <v>731</v>
      </c>
      <c r="AG190" s="87">
        <v>7000</v>
      </c>
      <c r="AH190" s="87">
        <v>-4695</v>
      </c>
      <c r="AI190" s="87">
        <v>16864</v>
      </c>
      <c r="AJ190" s="87">
        <v>0</v>
      </c>
    </row>
    <row r="191" spans="1:36" ht="43.9" customHeight="1" x14ac:dyDescent="0.25">
      <c r="A191" s="22"/>
      <c r="B191" s="26" t="s">
        <v>134</v>
      </c>
      <c r="C191" s="4"/>
      <c r="D191" s="22">
        <v>2</v>
      </c>
      <c r="E191" s="22">
        <v>20</v>
      </c>
      <c r="F191" s="22"/>
      <c r="G191" s="9">
        <f t="shared" si="183"/>
        <v>14067</v>
      </c>
      <c r="H191" s="18"/>
      <c r="I191" s="18"/>
      <c r="J191" s="18"/>
      <c r="K191" s="18">
        <v>14067</v>
      </c>
      <c r="L191" s="6"/>
      <c r="M191" s="22"/>
      <c r="N191" s="4">
        <f>D191</f>
        <v>2</v>
      </c>
      <c r="O191" s="4">
        <v>21</v>
      </c>
      <c r="P191" s="8"/>
      <c r="Q191" s="8"/>
      <c r="R191" s="37">
        <f t="shared" si="187"/>
        <v>0</v>
      </c>
      <c r="S191" s="37"/>
      <c r="T191" s="37"/>
      <c r="U191" s="22"/>
      <c r="V191" s="23"/>
      <c r="W191" s="10">
        <f t="shared" si="184"/>
        <v>0</v>
      </c>
      <c r="X191" s="87">
        <v>0</v>
      </c>
      <c r="Y191" s="85">
        <v>0</v>
      </c>
      <c r="Z191" s="18"/>
      <c r="AA191" s="10">
        <f t="shared" si="190"/>
        <v>0</v>
      </c>
      <c r="AB191" s="87">
        <v>0</v>
      </c>
      <c r="AC191" s="85">
        <v>0</v>
      </c>
      <c r="AD191" s="10">
        <f t="shared" si="186"/>
        <v>0</v>
      </c>
      <c r="AE191" s="84"/>
      <c r="AF191" s="84"/>
      <c r="AG191" s="87"/>
      <c r="AH191" s="87"/>
      <c r="AI191" s="87"/>
      <c r="AJ191" s="87"/>
    </row>
    <row r="192" spans="1:36" ht="37.15" customHeight="1" x14ac:dyDescent="0.25">
      <c r="A192" s="22"/>
      <c r="B192" s="26" t="s">
        <v>252</v>
      </c>
      <c r="C192" s="22"/>
      <c r="D192" s="22">
        <v>2</v>
      </c>
      <c r="E192" s="22">
        <v>0</v>
      </c>
      <c r="F192" s="22"/>
      <c r="G192" s="9">
        <f t="shared" si="183"/>
        <v>1403</v>
      </c>
      <c r="H192" s="18"/>
      <c r="I192" s="18"/>
      <c r="J192" s="18"/>
      <c r="K192" s="18">
        <v>1403</v>
      </c>
      <c r="L192" s="6"/>
      <c r="M192" s="22"/>
      <c r="N192" s="4">
        <v>5</v>
      </c>
      <c r="O192" s="4">
        <f>E192</f>
        <v>0</v>
      </c>
      <c r="P192" s="101"/>
      <c r="Q192" s="102"/>
      <c r="R192" s="37">
        <f t="shared" si="187"/>
        <v>0</v>
      </c>
      <c r="S192" s="103"/>
      <c r="T192" s="103"/>
      <c r="U192" s="23"/>
      <c r="V192" s="23"/>
      <c r="W192" s="10">
        <f t="shared" si="184"/>
        <v>0</v>
      </c>
      <c r="X192" s="87">
        <v>0</v>
      </c>
      <c r="Y192" s="85">
        <v>0</v>
      </c>
      <c r="Z192" s="18"/>
      <c r="AA192" s="10">
        <f t="shared" si="190"/>
        <v>0</v>
      </c>
      <c r="AB192" s="87">
        <v>0</v>
      </c>
      <c r="AC192" s="85">
        <v>0</v>
      </c>
      <c r="AD192" s="10">
        <f t="shared" si="186"/>
        <v>0</v>
      </c>
      <c r="AE192" s="84"/>
      <c r="AF192" s="104"/>
      <c r="AG192" s="104"/>
      <c r="AH192" s="104"/>
      <c r="AI192" s="104"/>
      <c r="AJ192" s="104"/>
    </row>
    <row r="193" spans="1:37" ht="44.45" customHeight="1" x14ac:dyDescent="0.25">
      <c r="A193" s="22">
        <v>7</v>
      </c>
      <c r="B193" s="26" t="s">
        <v>260</v>
      </c>
      <c r="C193" s="22">
        <v>1</v>
      </c>
      <c r="D193" s="22"/>
      <c r="E193" s="22"/>
      <c r="F193" s="22"/>
      <c r="G193" s="9">
        <f t="shared" si="183"/>
        <v>0</v>
      </c>
      <c r="H193" s="18"/>
      <c r="I193" s="18"/>
      <c r="J193" s="18"/>
      <c r="K193" s="18"/>
      <c r="L193" s="6">
        <v>2024</v>
      </c>
      <c r="M193" s="22">
        <v>1</v>
      </c>
      <c r="N193" s="4">
        <f>D193</f>
        <v>0</v>
      </c>
      <c r="O193" s="4">
        <f>E193</f>
        <v>0</v>
      </c>
      <c r="P193" s="8"/>
      <c r="Q193" s="99" t="s">
        <v>360</v>
      </c>
      <c r="R193" s="37">
        <f t="shared" si="187"/>
        <v>40226</v>
      </c>
      <c r="S193" s="37">
        <v>34470</v>
      </c>
      <c r="T193" s="37">
        <v>5756</v>
      </c>
      <c r="U193" s="22">
        <v>2023</v>
      </c>
      <c r="V193" s="23">
        <v>2</v>
      </c>
      <c r="W193" s="10">
        <f t="shared" si="184"/>
        <v>37963</v>
      </c>
      <c r="X193" s="87">
        <v>28963</v>
      </c>
      <c r="Y193" s="85">
        <v>9000</v>
      </c>
      <c r="Z193" s="18"/>
      <c r="AA193" s="10">
        <f t="shared" si="190"/>
        <v>37963</v>
      </c>
      <c r="AB193" s="87">
        <v>28963</v>
      </c>
      <c r="AC193" s="85">
        <v>9000</v>
      </c>
      <c r="AD193" s="10">
        <f t="shared" si="186"/>
        <v>28963</v>
      </c>
      <c r="AE193" s="84"/>
      <c r="AF193" s="87">
        <v>963</v>
      </c>
      <c r="AG193" s="84">
        <v>7000</v>
      </c>
      <c r="AH193" s="87">
        <v>-3500</v>
      </c>
      <c r="AI193" s="87">
        <v>24500</v>
      </c>
      <c r="AJ193" s="87">
        <v>0</v>
      </c>
    </row>
    <row r="194" spans="1:37" ht="43.15" customHeight="1" x14ac:dyDescent="0.25">
      <c r="A194" s="22"/>
      <c r="B194" s="26" t="s">
        <v>134</v>
      </c>
      <c r="C194" s="4"/>
      <c r="D194" s="22">
        <v>18</v>
      </c>
      <c r="E194" s="22">
        <v>26</v>
      </c>
      <c r="F194" s="22"/>
      <c r="G194" s="9">
        <f t="shared" si="183"/>
        <v>29448</v>
      </c>
      <c r="H194" s="18">
        <v>29448</v>
      </c>
      <c r="I194" s="18"/>
      <c r="J194" s="18"/>
      <c r="K194" s="18"/>
      <c r="L194" s="6"/>
      <c r="M194" s="22"/>
      <c r="N194" s="4">
        <f>D194</f>
        <v>18</v>
      </c>
      <c r="O194" s="4">
        <v>18</v>
      </c>
      <c r="P194" s="8"/>
      <c r="Q194" s="60"/>
      <c r="R194" s="37">
        <f t="shared" si="187"/>
        <v>0</v>
      </c>
      <c r="S194" s="82"/>
      <c r="T194" s="82"/>
      <c r="U194" s="22"/>
      <c r="V194" s="23"/>
      <c r="W194" s="10">
        <f t="shared" si="184"/>
        <v>0</v>
      </c>
      <c r="X194" s="87">
        <v>0</v>
      </c>
      <c r="Y194" s="85">
        <v>0</v>
      </c>
      <c r="Z194" s="18"/>
      <c r="AA194" s="10">
        <f t="shared" si="190"/>
        <v>0</v>
      </c>
      <c r="AB194" s="87">
        <v>0</v>
      </c>
      <c r="AC194" s="85">
        <v>0</v>
      </c>
      <c r="AD194" s="10">
        <f t="shared" si="186"/>
        <v>0</v>
      </c>
      <c r="AE194" s="84"/>
      <c r="AF194" s="84"/>
      <c r="AG194" s="84"/>
      <c r="AH194" s="84"/>
      <c r="AI194" s="84"/>
      <c r="AJ194" s="84"/>
    </row>
    <row r="195" spans="1:37" ht="42" customHeight="1" x14ac:dyDescent="0.25">
      <c r="A195" s="22"/>
      <c r="B195" s="26" t="s">
        <v>261</v>
      </c>
      <c r="C195" s="22"/>
      <c r="D195" s="22">
        <v>1</v>
      </c>
      <c r="E195" s="22">
        <v>0</v>
      </c>
      <c r="F195" s="22"/>
      <c r="G195" s="9">
        <f t="shared" si="183"/>
        <v>742</v>
      </c>
      <c r="H195" s="18">
        <v>742</v>
      </c>
      <c r="I195" s="18"/>
      <c r="J195" s="18"/>
      <c r="K195" s="18"/>
      <c r="L195" s="6"/>
      <c r="M195" s="22"/>
      <c r="N195" s="4"/>
      <c r="O195" s="4"/>
      <c r="P195" s="105"/>
      <c r="Q195" s="106"/>
      <c r="R195" s="37">
        <f t="shared" si="187"/>
        <v>0</v>
      </c>
      <c r="S195" s="107"/>
      <c r="T195" s="107"/>
      <c r="U195" s="23"/>
      <c r="V195" s="23"/>
      <c r="W195" s="10">
        <f t="shared" si="184"/>
        <v>0</v>
      </c>
      <c r="X195" s="87">
        <v>0</v>
      </c>
      <c r="Y195" s="85">
        <v>0</v>
      </c>
      <c r="Z195" s="18"/>
      <c r="AA195" s="10">
        <f t="shared" si="190"/>
        <v>0</v>
      </c>
      <c r="AB195" s="87">
        <v>0</v>
      </c>
      <c r="AC195" s="85">
        <v>0</v>
      </c>
      <c r="AD195" s="10">
        <f t="shared" si="186"/>
        <v>0</v>
      </c>
      <c r="AE195" s="84"/>
      <c r="AF195" s="104"/>
      <c r="AG195" s="104"/>
      <c r="AH195" s="104"/>
      <c r="AI195" s="104"/>
      <c r="AJ195" s="104"/>
    </row>
    <row r="196" spans="1:37" ht="50.45" customHeight="1" x14ac:dyDescent="0.25">
      <c r="A196" s="22">
        <v>8</v>
      </c>
      <c r="B196" s="26" t="s">
        <v>262</v>
      </c>
      <c r="C196" s="22">
        <v>1</v>
      </c>
      <c r="D196" s="22"/>
      <c r="E196" s="22"/>
      <c r="F196" s="22"/>
      <c r="G196" s="9">
        <f t="shared" si="183"/>
        <v>0</v>
      </c>
      <c r="H196" s="18"/>
      <c r="I196" s="18"/>
      <c r="J196" s="18"/>
      <c r="K196" s="18"/>
      <c r="L196" s="6">
        <v>2024</v>
      </c>
      <c r="M196" s="22">
        <v>1</v>
      </c>
      <c r="N196" s="4">
        <f t="shared" ref="N196:O199" si="191">D196</f>
        <v>0</v>
      </c>
      <c r="O196" s="4">
        <f t="shared" si="191"/>
        <v>0</v>
      </c>
      <c r="P196" s="8"/>
      <c r="Q196" s="99" t="s">
        <v>359</v>
      </c>
      <c r="R196" s="37">
        <f t="shared" si="187"/>
        <v>40036</v>
      </c>
      <c r="S196" s="37">
        <f>40036-2347</f>
        <v>37689</v>
      </c>
      <c r="T196" s="37">
        <v>2347</v>
      </c>
      <c r="U196" s="22">
        <v>2022</v>
      </c>
      <c r="V196" s="23">
        <v>2</v>
      </c>
      <c r="W196" s="10">
        <f t="shared" si="184"/>
        <v>33122</v>
      </c>
      <c r="X196" s="87">
        <v>26500</v>
      </c>
      <c r="Y196" s="85">
        <v>6622</v>
      </c>
      <c r="Z196" s="18"/>
      <c r="AA196" s="10">
        <f t="shared" si="190"/>
        <v>33122</v>
      </c>
      <c r="AB196" s="87">
        <v>26500</v>
      </c>
      <c r="AC196" s="85">
        <v>6622</v>
      </c>
      <c r="AD196" s="10">
        <f t="shared" si="186"/>
        <v>26500</v>
      </c>
      <c r="AE196" s="84"/>
      <c r="AF196" s="87">
        <v>2600</v>
      </c>
      <c r="AG196" s="84">
        <v>5000</v>
      </c>
      <c r="AH196" s="87">
        <v>7500</v>
      </c>
      <c r="AI196" s="87">
        <v>11400</v>
      </c>
      <c r="AJ196" s="87">
        <v>0</v>
      </c>
    </row>
    <row r="197" spans="1:37" ht="34.15" customHeight="1" x14ac:dyDescent="0.25">
      <c r="A197" s="22"/>
      <c r="B197" s="26" t="s">
        <v>134</v>
      </c>
      <c r="C197" s="4"/>
      <c r="D197" s="22">
        <v>12</v>
      </c>
      <c r="E197" s="22">
        <v>12</v>
      </c>
      <c r="F197" s="22"/>
      <c r="G197" s="9">
        <f t="shared" si="183"/>
        <v>17729</v>
      </c>
      <c r="H197" s="18"/>
      <c r="I197" s="18"/>
      <c r="J197" s="18"/>
      <c r="K197" s="18">
        <v>17729</v>
      </c>
      <c r="L197" s="6"/>
      <c r="M197" s="22"/>
      <c r="N197" s="4">
        <f t="shared" si="191"/>
        <v>12</v>
      </c>
      <c r="O197" s="4">
        <f t="shared" si="191"/>
        <v>12</v>
      </c>
      <c r="P197" s="108"/>
      <c r="Q197" s="60"/>
      <c r="R197" s="37">
        <f t="shared" si="187"/>
        <v>0</v>
      </c>
      <c r="S197" s="82"/>
      <c r="T197" s="82"/>
      <c r="U197" s="22"/>
      <c r="V197" s="23"/>
      <c r="W197" s="10">
        <f t="shared" si="184"/>
        <v>0</v>
      </c>
      <c r="X197" s="87">
        <v>0</v>
      </c>
      <c r="Y197" s="85">
        <v>0</v>
      </c>
      <c r="Z197" s="18"/>
      <c r="AA197" s="10"/>
      <c r="AB197" s="87">
        <v>0</v>
      </c>
      <c r="AC197" s="85">
        <v>0</v>
      </c>
      <c r="AD197" s="10">
        <f t="shared" si="186"/>
        <v>0</v>
      </c>
      <c r="AE197" s="84"/>
      <c r="AF197" s="84"/>
      <c r="AG197" s="87"/>
      <c r="AH197" s="87"/>
      <c r="AI197" s="87"/>
      <c r="AJ197" s="87"/>
    </row>
    <row r="198" spans="1:37" ht="36" customHeight="1" x14ac:dyDescent="0.25">
      <c r="A198" s="22"/>
      <c r="B198" s="26" t="s">
        <v>263</v>
      </c>
      <c r="C198" s="22"/>
      <c r="D198" s="22">
        <v>6</v>
      </c>
      <c r="E198" s="22">
        <v>0</v>
      </c>
      <c r="F198" s="22"/>
      <c r="G198" s="9">
        <f t="shared" si="183"/>
        <v>4290</v>
      </c>
      <c r="H198" s="18"/>
      <c r="I198" s="18"/>
      <c r="J198" s="18"/>
      <c r="K198" s="18">
        <v>4290</v>
      </c>
      <c r="L198" s="6"/>
      <c r="M198" s="22"/>
      <c r="N198" s="4">
        <f t="shared" si="191"/>
        <v>6</v>
      </c>
      <c r="O198" s="4">
        <f t="shared" si="191"/>
        <v>0</v>
      </c>
      <c r="P198" s="8"/>
      <c r="Q198" s="60"/>
      <c r="R198" s="37">
        <f t="shared" si="187"/>
        <v>0</v>
      </c>
      <c r="S198" s="82"/>
      <c r="T198" s="82"/>
      <c r="U198" s="22">
        <v>2022</v>
      </c>
      <c r="V198" s="23"/>
      <c r="W198" s="10">
        <f t="shared" si="184"/>
        <v>0</v>
      </c>
      <c r="X198" s="87">
        <v>0</v>
      </c>
      <c r="Y198" s="85">
        <v>0</v>
      </c>
      <c r="Z198" s="18"/>
      <c r="AA198" s="10">
        <v>0</v>
      </c>
      <c r="AB198" s="87">
        <v>0</v>
      </c>
      <c r="AC198" s="85">
        <v>0</v>
      </c>
      <c r="AD198" s="10">
        <f t="shared" si="186"/>
        <v>0</v>
      </c>
      <c r="AE198" s="84"/>
      <c r="AF198" s="84"/>
      <c r="AG198" s="87"/>
      <c r="AH198" s="87"/>
      <c r="AI198" s="87"/>
      <c r="AJ198" s="87"/>
    </row>
    <row r="199" spans="1:37" ht="48" customHeight="1" x14ac:dyDescent="0.25">
      <c r="A199" s="22">
        <v>9</v>
      </c>
      <c r="B199" s="26" t="s">
        <v>264</v>
      </c>
      <c r="C199" s="4">
        <v>1</v>
      </c>
      <c r="D199" s="22">
        <v>10</v>
      </c>
      <c r="E199" s="22">
        <v>19</v>
      </c>
      <c r="F199" s="22"/>
      <c r="G199" s="9">
        <f t="shared" si="183"/>
        <v>19413</v>
      </c>
      <c r="H199" s="18"/>
      <c r="I199" s="18"/>
      <c r="J199" s="18"/>
      <c r="K199" s="18">
        <v>19413</v>
      </c>
      <c r="L199" s="6">
        <v>2024</v>
      </c>
      <c r="M199" s="22">
        <v>1</v>
      </c>
      <c r="N199" s="4">
        <f t="shared" si="191"/>
        <v>10</v>
      </c>
      <c r="O199" s="4">
        <f t="shared" si="191"/>
        <v>19</v>
      </c>
      <c r="P199" s="8"/>
      <c r="Q199" s="94" t="s">
        <v>387</v>
      </c>
      <c r="R199" s="37">
        <f t="shared" si="187"/>
        <v>21912</v>
      </c>
      <c r="S199" s="109">
        <v>21912</v>
      </c>
      <c r="T199" s="82"/>
      <c r="U199" s="22">
        <v>2021</v>
      </c>
      <c r="V199" s="23">
        <v>1</v>
      </c>
      <c r="W199" s="10">
        <f t="shared" si="184"/>
        <v>19567</v>
      </c>
      <c r="X199" s="87">
        <v>19438</v>
      </c>
      <c r="Y199" s="85">
        <v>129</v>
      </c>
      <c r="Z199" s="18"/>
      <c r="AA199" s="10">
        <f t="shared" si="190"/>
        <v>19567</v>
      </c>
      <c r="AB199" s="87">
        <v>19438</v>
      </c>
      <c r="AC199" s="85">
        <v>129</v>
      </c>
      <c r="AD199" s="10">
        <f t="shared" si="186"/>
        <v>19438</v>
      </c>
      <c r="AE199" s="84">
        <v>15500</v>
      </c>
      <c r="AF199" s="84">
        <v>3938</v>
      </c>
      <c r="AG199" s="87"/>
      <c r="AH199" s="87">
        <v>0</v>
      </c>
      <c r="AI199" s="87">
        <v>0</v>
      </c>
      <c r="AJ199" s="87">
        <v>0</v>
      </c>
    </row>
    <row r="200" spans="1:37" ht="45" customHeight="1" x14ac:dyDescent="0.25">
      <c r="A200" s="22"/>
      <c r="B200" s="24" t="s">
        <v>265</v>
      </c>
      <c r="C200" s="56">
        <f>C201</f>
        <v>1</v>
      </c>
      <c r="D200" s="56">
        <f t="shared" ref="D200:AJ200" si="192">D201</f>
        <v>0</v>
      </c>
      <c r="E200" s="56">
        <f t="shared" si="192"/>
        <v>30</v>
      </c>
      <c r="F200" s="56">
        <f t="shared" si="192"/>
        <v>0</v>
      </c>
      <c r="G200" s="56">
        <f t="shared" si="192"/>
        <v>24985</v>
      </c>
      <c r="H200" s="56">
        <f t="shared" si="192"/>
        <v>0</v>
      </c>
      <c r="I200" s="56">
        <f t="shared" si="192"/>
        <v>0</v>
      </c>
      <c r="J200" s="56">
        <f t="shared" si="192"/>
        <v>996</v>
      </c>
      <c r="K200" s="56">
        <f t="shared" si="192"/>
        <v>23989</v>
      </c>
      <c r="L200" s="14"/>
      <c r="M200" s="56">
        <f t="shared" si="192"/>
        <v>1</v>
      </c>
      <c r="N200" s="68">
        <f t="shared" si="192"/>
        <v>2</v>
      </c>
      <c r="O200" s="68">
        <f t="shared" si="192"/>
        <v>30</v>
      </c>
      <c r="P200" s="21"/>
      <c r="Q200" s="69"/>
      <c r="R200" s="68">
        <f t="shared" si="192"/>
        <v>44930</v>
      </c>
      <c r="S200" s="68">
        <f t="shared" si="192"/>
        <v>39379</v>
      </c>
      <c r="T200" s="68">
        <f t="shared" si="192"/>
        <v>5551</v>
      </c>
      <c r="U200" s="14"/>
      <c r="V200" s="14"/>
      <c r="W200" s="68">
        <f t="shared" si="192"/>
        <v>35951</v>
      </c>
      <c r="X200" s="68">
        <f t="shared" si="192"/>
        <v>30400</v>
      </c>
      <c r="Y200" s="68">
        <f t="shared" si="192"/>
        <v>5551</v>
      </c>
      <c r="Z200" s="68">
        <f t="shared" si="192"/>
        <v>0</v>
      </c>
      <c r="AA200" s="68">
        <f t="shared" si="192"/>
        <v>35951</v>
      </c>
      <c r="AB200" s="68">
        <f t="shared" si="192"/>
        <v>30400</v>
      </c>
      <c r="AC200" s="68">
        <f t="shared" si="192"/>
        <v>5551</v>
      </c>
      <c r="AD200" s="68">
        <f t="shared" si="192"/>
        <v>30400</v>
      </c>
      <c r="AE200" s="68">
        <f t="shared" si="192"/>
        <v>500</v>
      </c>
      <c r="AF200" s="68">
        <f t="shared" si="192"/>
        <v>10746</v>
      </c>
      <c r="AG200" s="68">
        <f t="shared" si="192"/>
        <v>7661</v>
      </c>
      <c r="AH200" s="68">
        <f t="shared" si="192"/>
        <v>0</v>
      </c>
      <c r="AI200" s="68">
        <f t="shared" si="192"/>
        <v>11493</v>
      </c>
      <c r="AJ200" s="68">
        <f t="shared" si="192"/>
        <v>0</v>
      </c>
    </row>
    <row r="201" spans="1:37" ht="44.45" customHeight="1" x14ac:dyDescent="0.25">
      <c r="A201" s="22">
        <v>1</v>
      </c>
      <c r="B201" s="25" t="s">
        <v>266</v>
      </c>
      <c r="C201" s="4">
        <v>1</v>
      </c>
      <c r="D201" s="22">
        <v>0</v>
      </c>
      <c r="E201" s="22">
        <v>30</v>
      </c>
      <c r="F201" s="22"/>
      <c r="G201" s="9">
        <f t="shared" si="183"/>
        <v>24985</v>
      </c>
      <c r="H201" s="18"/>
      <c r="I201" s="18"/>
      <c r="J201" s="18">
        <v>996</v>
      </c>
      <c r="K201" s="18">
        <v>23989</v>
      </c>
      <c r="L201" s="6">
        <v>2024</v>
      </c>
      <c r="M201" s="22">
        <v>1</v>
      </c>
      <c r="N201" s="4">
        <v>2</v>
      </c>
      <c r="O201" s="4">
        <f>E201</f>
        <v>30</v>
      </c>
      <c r="P201" s="8"/>
      <c r="Q201" s="99" t="s">
        <v>357</v>
      </c>
      <c r="R201" s="37">
        <f t="shared" si="187"/>
        <v>44930</v>
      </c>
      <c r="S201" s="37">
        <f>44930-5551</f>
        <v>39379</v>
      </c>
      <c r="T201" s="37">
        <v>5551</v>
      </c>
      <c r="U201" s="6">
        <v>2022</v>
      </c>
      <c r="V201" s="6">
        <v>2</v>
      </c>
      <c r="W201" s="10">
        <f t="shared" si="184"/>
        <v>35951</v>
      </c>
      <c r="X201" s="18">
        <v>30400</v>
      </c>
      <c r="Y201" s="18">
        <v>5551</v>
      </c>
      <c r="Z201" s="18"/>
      <c r="AA201" s="10">
        <f>AB201+AC201</f>
        <v>35951</v>
      </c>
      <c r="AB201" s="10">
        <f>X201</f>
        <v>30400</v>
      </c>
      <c r="AC201" s="10">
        <f>Y201</f>
        <v>5551</v>
      </c>
      <c r="AD201" s="10">
        <f t="shared" si="186"/>
        <v>30400</v>
      </c>
      <c r="AE201" s="64">
        <v>500</v>
      </c>
      <c r="AF201" s="64">
        <v>10746</v>
      </c>
      <c r="AG201" s="64">
        <v>7661</v>
      </c>
      <c r="AH201" s="64"/>
      <c r="AI201" s="64">
        <v>11493</v>
      </c>
      <c r="AJ201" s="64"/>
    </row>
    <row r="202" spans="1:37" ht="42.75" customHeight="1" x14ac:dyDescent="0.25">
      <c r="A202" s="11" t="s">
        <v>163</v>
      </c>
      <c r="B202" s="47" t="s">
        <v>286</v>
      </c>
      <c r="C202" s="49">
        <f>C203</f>
        <v>0</v>
      </c>
      <c r="D202" s="49">
        <f t="shared" ref="D202:AJ203" si="193">D203</f>
        <v>0</v>
      </c>
      <c r="E202" s="49">
        <f t="shared" si="193"/>
        <v>0</v>
      </c>
      <c r="F202" s="49">
        <f t="shared" si="193"/>
        <v>0</v>
      </c>
      <c r="G202" s="49">
        <f t="shared" si="193"/>
        <v>0</v>
      </c>
      <c r="H202" s="49">
        <f t="shared" si="193"/>
        <v>0</v>
      </c>
      <c r="I202" s="49">
        <f t="shared" si="193"/>
        <v>0</v>
      </c>
      <c r="J202" s="49">
        <f t="shared" si="193"/>
        <v>0</v>
      </c>
      <c r="K202" s="49">
        <f t="shared" si="193"/>
        <v>0</v>
      </c>
      <c r="L202" s="49">
        <f t="shared" si="193"/>
        <v>0</v>
      </c>
      <c r="M202" s="49">
        <f t="shared" si="193"/>
        <v>1</v>
      </c>
      <c r="N202" s="49">
        <f t="shared" si="193"/>
        <v>23</v>
      </c>
      <c r="O202" s="49">
        <f t="shared" si="193"/>
        <v>22</v>
      </c>
      <c r="P202" s="49"/>
      <c r="Q202" s="49">
        <f t="shared" si="193"/>
        <v>0</v>
      </c>
      <c r="R202" s="49">
        <f t="shared" si="193"/>
        <v>51459</v>
      </c>
      <c r="S202" s="49">
        <f t="shared" si="193"/>
        <v>29400</v>
      </c>
      <c r="T202" s="49">
        <f t="shared" si="193"/>
        <v>22059</v>
      </c>
      <c r="U202" s="49">
        <f t="shared" si="193"/>
        <v>0</v>
      </c>
      <c r="V202" s="49">
        <f t="shared" si="193"/>
        <v>0</v>
      </c>
      <c r="W202" s="49">
        <f t="shared" si="193"/>
        <v>34800</v>
      </c>
      <c r="X202" s="49">
        <f t="shared" si="193"/>
        <v>18500</v>
      </c>
      <c r="Y202" s="49">
        <f t="shared" si="193"/>
        <v>16300</v>
      </c>
      <c r="Z202" s="49">
        <f t="shared" si="193"/>
        <v>0</v>
      </c>
      <c r="AA202" s="49">
        <f t="shared" si="193"/>
        <v>34800</v>
      </c>
      <c r="AB202" s="49">
        <f t="shared" si="193"/>
        <v>18500</v>
      </c>
      <c r="AC202" s="49">
        <f t="shared" si="193"/>
        <v>16300</v>
      </c>
      <c r="AD202" s="49">
        <f t="shared" si="193"/>
        <v>18500</v>
      </c>
      <c r="AE202" s="49">
        <f t="shared" si="193"/>
        <v>0</v>
      </c>
      <c r="AF202" s="49">
        <f t="shared" si="193"/>
        <v>0</v>
      </c>
      <c r="AG202" s="49">
        <f t="shared" si="193"/>
        <v>0</v>
      </c>
      <c r="AH202" s="49">
        <f t="shared" si="193"/>
        <v>18500</v>
      </c>
      <c r="AI202" s="49">
        <f t="shared" si="193"/>
        <v>0</v>
      </c>
      <c r="AJ202" s="49">
        <f t="shared" si="193"/>
        <v>0</v>
      </c>
      <c r="AK202" s="3"/>
    </row>
    <row r="203" spans="1:37" ht="35.25" customHeight="1" x14ac:dyDescent="0.25">
      <c r="A203" s="5"/>
      <c r="B203" s="47" t="s">
        <v>37</v>
      </c>
      <c r="C203" s="33">
        <f>C204</f>
        <v>0</v>
      </c>
      <c r="D203" s="33">
        <f t="shared" si="193"/>
        <v>0</v>
      </c>
      <c r="E203" s="33">
        <f t="shared" si="193"/>
        <v>0</v>
      </c>
      <c r="F203" s="33">
        <f t="shared" si="193"/>
        <v>0</v>
      </c>
      <c r="G203" s="33">
        <f t="shared" si="193"/>
        <v>0</v>
      </c>
      <c r="H203" s="33">
        <f t="shared" si="193"/>
        <v>0</v>
      </c>
      <c r="I203" s="33">
        <f t="shared" si="193"/>
        <v>0</v>
      </c>
      <c r="J203" s="33">
        <f t="shared" si="193"/>
        <v>0</v>
      </c>
      <c r="K203" s="33">
        <f t="shared" si="193"/>
        <v>0</v>
      </c>
      <c r="L203" s="33">
        <f t="shared" si="193"/>
        <v>0</v>
      </c>
      <c r="M203" s="33">
        <f t="shared" si="193"/>
        <v>1</v>
      </c>
      <c r="N203" s="33">
        <f t="shared" si="193"/>
        <v>23</v>
      </c>
      <c r="O203" s="33">
        <f t="shared" si="193"/>
        <v>22</v>
      </c>
      <c r="P203" s="33"/>
      <c r="Q203" s="33">
        <f t="shared" si="193"/>
        <v>0</v>
      </c>
      <c r="R203" s="33">
        <f t="shared" si="193"/>
        <v>51459</v>
      </c>
      <c r="S203" s="33">
        <f t="shared" si="193"/>
        <v>29400</v>
      </c>
      <c r="T203" s="33">
        <f t="shared" si="193"/>
        <v>22059</v>
      </c>
      <c r="U203" s="33"/>
      <c r="V203" s="33"/>
      <c r="W203" s="33">
        <f t="shared" si="193"/>
        <v>34800</v>
      </c>
      <c r="X203" s="33">
        <f t="shared" si="193"/>
        <v>18500</v>
      </c>
      <c r="Y203" s="33">
        <f t="shared" si="193"/>
        <v>16300</v>
      </c>
      <c r="Z203" s="33">
        <f t="shared" si="193"/>
        <v>0</v>
      </c>
      <c r="AA203" s="33">
        <f t="shared" si="193"/>
        <v>34800</v>
      </c>
      <c r="AB203" s="33">
        <f t="shared" si="193"/>
        <v>18500</v>
      </c>
      <c r="AC203" s="33">
        <f t="shared" si="193"/>
        <v>16300</v>
      </c>
      <c r="AD203" s="33">
        <f t="shared" si="193"/>
        <v>18500</v>
      </c>
      <c r="AE203" s="33">
        <f t="shared" si="193"/>
        <v>0</v>
      </c>
      <c r="AF203" s="33">
        <f t="shared" si="193"/>
        <v>0</v>
      </c>
      <c r="AG203" s="33">
        <f t="shared" si="193"/>
        <v>0</v>
      </c>
      <c r="AH203" s="33">
        <f t="shared" si="193"/>
        <v>18500</v>
      </c>
      <c r="AI203" s="33">
        <f t="shared" si="193"/>
        <v>0</v>
      </c>
      <c r="AJ203" s="33">
        <f t="shared" si="193"/>
        <v>0</v>
      </c>
    </row>
    <row r="204" spans="1:37" ht="43.15" customHeight="1" x14ac:dyDescent="0.25">
      <c r="A204" s="5">
        <v>1</v>
      </c>
      <c r="B204" s="5" t="s">
        <v>212</v>
      </c>
      <c r="C204" s="4"/>
      <c r="D204" s="4"/>
      <c r="E204" s="4"/>
      <c r="F204" s="4"/>
      <c r="G204" s="9"/>
      <c r="H204" s="9"/>
      <c r="I204" s="9"/>
      <c r="J204" s="9"/>
      <c r="K204" s="9"/>
      <c r="L204" s="7"/>
      <c r="M204" s="4">
        <v>1</v>
      </c>
      <c r="N204" s="4">
        <v>23</v>
      </c>
      <c r="O204" s="4">
        <v>22</v>
      </c>
      <c r="P204" s="8"/>
      <c r="Q204" s="8"/>
      <c r="R204" s="37">
        <f t="shared" ref="R204" si="194">S204+T204</f>
        <v>51459</v>
      </c>
      <c r="S204" s="37">
        <f>10900+18500</f>
        <v>29400</v>
      </c>
      <c r="T204" s="37">
        <v>22059</v>
      </c>
      <c r="U204" s="7"/>
      <c r="V204" s="7">
        <v>2</v>
      </c>
      <c r="W204" s="10">
        <f t="shared" ref="W204" si="195">X204+Y204+Z204</f>
        <v>34800</v>
      </c>
      <c r="X204" s="9">
        <v>18500</v>
      </c>
      <c r="Y204" s="9">
        <v>16300</v>
      </c>
      <c r="Z204" s="9"/>
      <c r="AA204" s="10">
        <f>AB204+AC204</f>
        <v>34800</v>
      </c>
      <c r="AB204" s="10">
        <v>18500</v>
      </c>
      <c r="AC204" s="10">
        <v>16300</v>
      </c>
      <c r="AD204" s="10">
        <f t="shared" ref="AD204" si="196">AE204+AF204+AG204+AH204+AI204+AJ204</f>
        <v>18500</v>
      </c>
      <c r="AE204" s="10"/>
      <c r="AF204" s="10"/>
      <c r="AG204" s="10"/>
      <c r="AH204" s="10">
        <v>18500</v>
      </c>
      <c r="AI204" s="10"/>
      <c r="AJ204" s="10"/>
    </row>
    <row r="205" spans="1:37" ht="30.75" customHeight="1" x14ac:dyDescent="0.25">
      <c r="A205" s="11" t="s">
        <v>164</v>
      </c>
      <c r="B205" s="47" t="s">
        <v>165</v>
      </c>
      <c r="C205" s="49">
        <f>C206+C210+C216</f>
        <v>10</v>
      </c>
      <c r="D205" s="49">
        <f t="shared" ref="D205:K205" si="197">D206+D210+D216</f>
        <v>63</v>
      </c>
      <c r="E205" s="49">
        <f t="shared" si="197"/>
        <v>157</v>
      </c>
      <c r="F205" s="49">
        <f t="shared" si="197"/>
        <v>0</v>
      </c>
      <c r="G205" s="49">
        <f t="shared" si="197"/>
        <v>170837</v>
      </c>
      <c r="H205" s="49">
        <f t="shared" si="197"/>
        <v>101173</v>
      </c>
      <c r="I205" s="49">
        <f t="shared" si="197"/>
        <v>0</v>
      </c>
      <c r="J205" s="49">
        <f t="shared" si="197"/>
        <v>0</v>
      </c>
      <c r="K205" s="49">
        <f t="shared" si="197"/>
        <v>69664</v>
      </c>
      <c r="L205" s="50"/>
      <c r="M205" s="49">
        <f>M206+M210+M216</f>
        <v>10</v>
      </c>
      <c r="N205" s="50">
        <f>N206+N210+N216</f>
        <v>84</v>
      </c>
      <c r="O205" s="50">
        <f>O206+O210+O216</f>
        <v>160</v>
      </c>
      <c r="P205" s="17"/>
      <c r="Q205" s="17"/>
      <c r="R205" s="50">
        <f>R206+R210+R216</f>
        <v>304328</v>
      </c>
      <c r="S205" s="50">
        <f>S206+S210+S216</f>
        <v>259366</v>
      </c>
      <c r="T205" s="50">
        <f>T206+T210+T216</f>
        <v>44962</v>
      </c>
      <c r="U205" s="16"/>
      <c r="V205" s="16"/>
      <c r="W205" s="50">
        <f>W206+W210+W216</f>
        <v>249676.815</v>
      </c>
      <c r="X205" s="50">
        <f>X206+X210+X216</f>
        <v>231293.48300000001</v>
      </c>
      <c r="Y205" s="50">
        <f>Y206+Y210+Y216</f>
        <v>18383.331999999999</v>
      </c>
      <c r="Z205" s="50">
        <f>Z206+Z210+Z216</f>
        <v>0</v>
      </c>
      <c r="AA205" s="50">
        <f t="shared" ref="AA205:AJ205" si="198">AA206+AA210+AA216</f>
        <v>215904.815</v>
      </c>
      <c r="AB205" s="50">
        <f t="shared" si="198"/>
        <v>197521.48300000001</v>
      </c>
      <c r="AC205" s="50">
        <f t="shared" si="198"/>
        <v>18383.331999999999</v>
      </c>
      <c r="AD205" s="50">
        <f t="shared" si="198"/>
        <v>212021.48300000001</v>
      </c>
      <c r="AE205" s="50">
        <f t="shared" si="198"/>
        <v>14000</v>
      </c>
      <c r="AF205" s="50">
        <f t="shared" si="198"/>
        <v>38000</v>
      </c>
      <c r="AG205" s="50">
        <f t="shared" si="198"/>
        <v>33200</v>
      </c>
      <c r="AH205" s="50">
        <f t="shared" si="198"/>
        <v>4401.4830000000002</v>
      </c>
      <c r="AI205" s="50">
        <f t="shared" si="198"/>
        <v>61820</v>
      </c>
      <c r="AJ205" s="50">
        <f t="shared" si="198"/>
        <v>60600</v>
      </c>
      <c r="AK205" s="3"/>
    </row>
    <row r="206" spans="1:37" ht="42.75" customHeight="1" x14ac:dyDescent="0.25">
      <c r="A206" s="47"/>
      <c r="B206" s="47" t="s">
        <v>29</v>
      </c>
      <c r="C206" s="33">
        <f>C207+C208+C209</f>
        <v>3</v>
      </c>
      <c r="D206" s="33">
        <f t="shared" ref="D206:AJ206" si="199">D207+D208+D209</f>
        <v>13</v>
      </c>
      <c r="E206" s="33">
        <f t="shared" si="199"/>
        <v>10</v>
      </c>
      <c r="F206" s="33">
        <f t="shared" si="199"/>
        <v>0</v>
      </c>
      <c r="G206" s="33">
        <f t="shared" si="199"/>
        <v>31370</v>
      </c>
      <c r="H206" s="33">
        <f t="shared" si="199"/>
        <v>5484</v>
      </c>
      <c r="I206" s="33">
        <f t="shared" si="199"/>
        <v>0</v>
      </c>
      <c r="J206" s="33">
        <f t="shared" si="199"/>
        <v>0</v>
      </c>
      <c r="K206" s="33">
        <f t="shared" si="199"/>
        <v>25886</v>
      </c>
      <c r="L206" s="33"/>
      <c r="M206" s="33">
        <f t="shared" si="199"/>
        <v>3</v>
      </c>
      <c r="N206" s="33">
        <f t="shared" si="199"/>
        <v>15</v>
      </c>
      <c r="O206" s="33">
        <f t="shared" si="199"/>
        <v>8</v>
      </c>
      <c r="P206" s="33"/>
      <c r="Q206" s="33"/>
      <c r="R206" s="33">
        <f t="shared" si="199"/>
        <v>28386</v>
      </c>
      <c r="S206" s="33">
        <f t="shared" si="199"/>
        <v>27426</v>
      </c>
      <c r="T206" s="33">
        <f t="shared" si="199"/>
        <v>960</v>
      </c>
      <c r="U206" s="33"/>
      <c r="V206" s="33"/>
      <c r="W206" s="33">
        <f t="shared" si="199"/>
        <v>26660.332000000002</v>
      </c>
      <c r="X206" s="33">
        <f>X207+X208+X209</f>
        <v>25700</v>
      </c>
      <c r="Y206" s="33">
        <f t="shared" si="199"/>
        <v>960.33199999999999</v>
      </c>
      <c r="Z206" s="33">
        <f t="shared" si="199"/>
        <v>0</v>
      </c>
      <c r="AA206" s="33">
        <f t="shared" si="199"/>
        <v>24960.332000000002</v>
      </c>
      <c r="AB206" s="33">
        <f t="shared" si="199"/>
        <v>24000</v>
      </c>
      <c r="AC206" s="33">
        <f t="shared" si="199"/>
        <v>960.33199999999999</v>
      </c>
      <c r="AD206" s="33">
        <f t="shared" si="199"/>
        <v>25700</v>
      </c>
      <c r="AE206" s="33">
        <f t="shared" si="199"/>
        <v>9000</v>
      </c>
      <c r="AF206" s="33">
        <f t="shared" si="199"/>
        <v>2000</v>
      </c>
      <c r="AG206" s="33">
        <f t="shared" si="199"/>
        <v>0</v>
      </c>
      <c r="AH206" s="33">
        <f t="shared" si="199"/>
        <v>0</v>
      </c>
      <c r="AI206" s="33">
        <f t="shared" si="199"/>
        <v>7000</v>
      </c>
      <c r="AJ206" s="33">
        <f t="shared" si="199"/>
        <v>7700</v>
      </c>
    </row>
    <row r="207" spans="1:37" ht="43.9" customHeight="1" x14ac:dyDescent="0.25">
      <c r="A207" s="5">
        <v>1</v>
      </c>
      <c r="B207" s="5" t="s">
        <v>215</v>
      </c>
      <c r="C207" s="4">
        <v>1</v>
      </c>
      <c r="D207" s="4">
        <v>2</v>
      </c>
      <c r="E207" s="4">
        <v>3</v>
      </c>
      <c r="F207" s="4"/>
      <c r="G207" s="9">
        <f>H207+I207+J207+K207</f>
        <v>5484</v>
      </c>
      <c r="H207" s="9">
        <v>5484</v>
      </c>
      <c r="I207" s="9"/>
      <c r="J207" s="9"/>
      <c r="K207" s="9"/>
      <c r="L207" s="7">
        <v>2021</v>
      </c>
      <c r="M207" s="4">
        <v>1</v>
      </c>
      <c r="N207" s="4">
        <v>2</v>
      </c>
      <c r="O207" s="4">
        <v>3</v>
      </c>
      <c r="P207" s="13"/>
      <c r="Q207" s="94" t="s">
        <v>398</v>
      </c>
      <c r="R207" s="37">
        <f t="shared" ref="R207:R217" si="200">S207+T207</f>
        <v>5059</v>
      </c>
      <c r="S207" s="37">
        <f>5059-425</f>
        <v>4634</v>
      </c>
      <c r="T207" s="37">
        <v>425</v>
      </c>
      <c r="U207" s="7">
        <v>2021</v>
      </c>
      <c r="V207" s="7">
        <v>2</v>
      </c>
      <c r="W207" s="10">
        <f t="shared" ref="W207:W218" si="201">X207+Y207+Z207</f>
        <v>4425.2780000000002</v>
      </c>
      <c r="X207" s="9">
        <v>4000</v>
      </c>
      <c r="Y207" s="9">
        <v>425.27800000000002</v>
      </c>
      <c r="Z207" s="9"/>
      <c r="AA207" s="10">
        <f t="shared" ref="AA207:AA215" si="202">AB207+AC207</f>
        <v>4425.2780000000002</v>
      </c>
      <c r="AB207" s="10">
        <f t="shared" ref="AB207:AC209" si="203">X207</f>
        <v>4000</v>
      </c>
      <c r="AC207" s="10">
        <f t="shared" si="203"/>
        <v>425.27800000000002</v>
      </c>
      <c r="AD207" s="10">
        <f t="shared" ref="AD207:AD217" si="204">AE207+AF207+AG207+AH207+AI207+AJ207</f>
        <v>4000</v>
      </c>
      <c r="AE207" s="10">
        <v>2000</v>
      </c>
      <c r="AF207" s="10">
        <v>2000</v>
      </c>
      <c r="AG207" s="10"/>
      <c r="AH207" s="10"/>
      <c r="AI207" s="10"/>
      <c r="AJ207" s="10"/>
    </row>
    <row r="208" spans="1:37" ht="46.9" customHeight="1" x14ac:dyDescent="0.25">
      <c r="A208" s="5">
        <v>2</v>
      </c>
      <c r="B208" s="5" t="s">
        <v>219</v>
      </c>
      <c r="C208" s="4">
        <v>1</v>
      </c>
      <c r="D208" s="4">
        <v>6</v>
      </c>
      <c r="E208" s="4">
        <v>2</v>
      </c>
      <c r="F208" s="4"/>
      <c r="G208" s="9">
        <f>H208+I208+J208+K208</f>
        <v>13510</v>
      </c>
      <c r="H208" s="9"/>
      <c r="I208" s="9"/>
      <c r="J208" s="9"/>
      <c r="K208" s="9">
        <v>13510</v>
      </c>
      <c r="L208" s="7">
        <v>2024</v>
      </c>
      <c r="M208" s="4">
        <v>1</v>
      </c>
      <c r="N208" s="4">
        <v>8</v>
      </c>
      <c r="O208" s="4">
        <v>0</v>
      </c>
      <c r="P208" s="13"/>
      <c r="Q208" s="94" t="s">
        <v>390</v>
      </c>
      <c r="R208" s="37">
        <f t="shared" si="200"/>
        <v>8564</v>
      </c>
      <c r="S208" s="37">
        <f>8564-535</f>
        <v>8029</v>
      </c>
      <c r="T208" s="37">
        <v>535</v>
      </c>
      <c r="U208" s="7">
        <v>2021</v>
      </c>
      <c r="V208" s="7">
        <v>2</v>
      </c>
      <c r="W208" s="10">
        <f t="shared" si="201"/>
        <v>7535.0540000000001</v>
      </c>
      <c r="X208" s="9">
        <v>7000</v>
      </c>
      <c r="Y208" s="9">
        <v>535.05399999999997</v>
      </c>
      <c r="Z208" s="9"/>
      <c r="AA208" s="10">
        <f t="shared" si="202"/>
        <v>7535.0540000000001</v>
      </c>
      <c r="AB208" s="10">
        <f t="shared" si="203"/>
        <v>7000</v>
      </c>
      <c r="AC208" s="10">
        <f t="shared" si="203"/>
        <v>535.05399999999997</v>
      </c>
      <c r="AD208" s="10">
        <f t="shared" si="204"/>
        <v>7000</v>
      </c>
      <c r="AE208" s="10">
        <v>7000</v>
      </c>
      <c r="AF208" s="10"/>
      <c r="AG208" s="10"/>
      <c r="AH208" s="10"/>
      <c r="AI208" s="10"/>
      <c r="AJ208" s="10"/>
    </row>
    <row r="209" spans="1:37" ht="46.15" customHeight="1" x14ac:dyDescent="0.25">
      <c r="A209" s="5">
        <v>3</v>
      </c>
      <c r="B209" s="5" t="s">
        <v>218</v>
      </c>
      <c r="C209" s="9">
        <v>1</v>
      </c>
      <c r="D209" s="9">
        <v>5</v>
      </c>
      <c r="E209" s="9">
        <v>5</v>
      </c>
      <c r="F209" s="9"/>
      <c r="G209" s="9">
        <f>H209+I209+J209+K209</f>
        <v>12376</v>
      </c>
      <c r="H209" s="9"/>
      <c r="I209" s="9"/>
      <c r="J209" s="9"/>
      <c r="K209" s="9">
        <v>12376</v>
      </c>
      <c r="L209" s="7">
        <v>2024</v>
      </c>
      <c r="M209" s="9">
        <v>1</v>
      </c>
      <c r="N209" s="4">
        <v>5</v>
      </c>
      <c r="O209" s="4">
        <v>5</v>
      </c>
      <c r="P209" s="13"/>
      <c r="Q209" s="8"/>
      <c r="R209" s="37">
        <f t="shared" si="200"/>
        <v>14763</v>
      </c>
      <c r="S209" s="38">
        <v>14763</v>
      </c>
      <c r="T209" s="37"/>
      <c r="U209" s="7">
        <v>2023</v>
      </c>
      <c r="V209" s="7">
        <v>2</v>
      </c>
      <c r="W209" s="10">
        <f t="shared" si="201"/>
        <v>14700</v>
      </c>
      <c r="X209" s="9">
        <v>14700</v>
      </c>
      <c r="Y209" s="9"/>
      <c r="Z209" s="9"/>
      <c r="AA209" s="10">
        <f t="shared" si="202"/>
        <v>13000</v>
      </c>
      <c r="AB209" s="10">
        <v>13000</v>
      </c>
      <c r="AC209" s="10">
        <f t="shared" si="203"/>
        <v>0</v>
      </c>
      <c r="AD209" s="10">
        <f t="shared" si="204"/>
        <v>14700</v>
      </c>
      <c r="AE209" s="10"/>
      <c r="AF209" s="10"/>
      <c r="AG209" s="10"/>
      <c r="AH209" s="10"/>
      <c r="AI209" s="10">
        <v>7000</v>
      </c>
      <c r="AJ209" s="10">
        <v>7700</v>
      </c>
    </row>
    <row r="210" spans="1:37" ht="41.25" customHeight="1" x14ac:dyDescent="0.25">
      <c r="A210" s="47"/>
      <c r="B210" s="47" t="s">
        <v>37</v>
      </c>
      <c r="C210" s="33">
        <f>SUM(C211:C215)</f>
        <v>5</v>
      </c>
      <c r="D210" s="33">
        <f t="shared" ref="D210:AJ210" si="205">SUM(D211:D215)</f>
        <v>28</v>
      </c>
      <c r="E210" s="33">
        <f t="shared" si="205"/>
        <v>92</v>
      </c>
      <c r="F210" s="33">
        <f t="shared" si="205"/>
        <v>0</v>
      </c>
      <c r="G210" s="33">
        <f t="shared" si="205"/>
        <v>77180</v>
      </c>
      <c r="H210" s="33">
        <f t="shared" si="205"/>
        <v>51443</v>
      </c>
      <c r="I210" s="33">
        <f t="shared" si="205"/>
        <v>0</v>
      </c>
      <c r="J210" s="33">
        <f t="shared" si="205"/>
        <v>0</v>
      </c>
      <c r="K210" s="33">
        <f t="shared" si="205"/>
        <v>25737</v>
      </c>
      <c r="L210" s="33"/>
      <c r="M210" s="33">
        <f t="shared" si="205"/>
        <v>5</v>
      </c>
      <c r="N210" s="33">
        <f t="shared" si="205"/>
        <v>35</v>
      </c>
      <c r="O210" s="33">
        <f t="shared" si="205"/>
        <v>84</v>
      </c>
      <c r="P210" s="33"/>
      <c r="Q210" s="33">
        <f t="shared" si="205"/>
        <v>0</v>
      </c>
      <c r="R210" s="33">
        <f t="shared" si="205"/>
        <v>131443</v>
      </c>
      <c r="S210" s="33">
        <f t="shared" si="205"/>
        <v>104441</v>
      </c>
      <c r="T210" s="33">
        <f t="shared" si="205"/>
        <v>27002</v>
      </c>
      <c r="U210" s="33"/>
      <c r="V210" s="33"/>
      <c r="W210" s="33">
        <f t="shared" si="205"/>
        <v>86014.483000000007</v>
      </c>
      <c r="X210" s="33">
        <f>SUM(X211:X215)</f>
        <v>85591.483000000007</v>
      </c>
      <c r="Y210" s="33">
        <f t="shared" si="205"/>
        <v>423</v>
      </c>
      <c r="Z210" s="33">
        <f t="shared" si="205"/>
        <v>0</v>
      </c>
      <c r="AA210" s="33">
        <f t="shared" si="205"/>
        <v>83214.483000000007</v>
      </c>
      <c r="AB210" s="33">
        <f t="shared" si="205"/>
        <v>82791.483000000007</v>
      </c>
      <c r="AC210" s="33">
        <f t="shared" si="205"/>
        <v>423</v>
      </c>
      <c r="AD210" s="33">
        <f t="shared" si="205"/>
        <v>85591.483000000007</v>
      </c>
      <c r="AE210" s="33">
        <f t="shared" si="205"/>
        <v>5000</v>
      </c>
      <c r="AF210" s="33">
        <f t="shared" si="205"/>
        <v>26000</v>
      </c>
      <c r="AG210" s="33">
        <f t="shared" si="205"/>
        <v>25200</v>
      </c>
      <c r="AH210" s="33">
        <f t="shared" si="205"/>
        <v>3591.4830000000002</v>
      </c>
      <c r="AI210" s="33">
        <f t="shared" si="205"/>
        <v>12900</v>
      </c>
      <c r="AJ210" s="33">
        <f t="shared" si="205"/>
        <v>12900</v>
      </c>
    </row>
    <row r="211" spans="1:37" ht="47.45" customHeight="1" x14ac:dyDescent="0.25">
      <c r="A211" s="5">
        <v>1</v>
      </c>
      <c r="B211" s="5" t="s">
        <v>222</v>
      </c>
      <c r="C211" s="4">
        <v>1</v>
      </c>
      <c r="D211" s="4">
        <v>4</v>
      </c>
      <c r="E211" s="4">
        <v>20</v>
      </c>
      <c r="F211" s="4"/>
      <c r="G211" s="9">
        <f t="shared" ref="G211:G215" si="206">H211+I211+J211+K211</f>
        <v>15388</v>
      </c>
      <c r="H211" s="9">
        <v>15388</v>
      </c>
      <c r="I211" s="9"/>
      <c r="J211" s="9"/>
      <c r="K211" s="9"/>
      <c r="L211" s="7">
        <v>2021</v>
      </c>
      <c r="M211" s="4">
        <v>1</v>
      </c>
      <c r="N211" s="4">
        <v>4</v>
      </c>
      <c r="O211" s="4">
        <v>19</v>
      </c>
      <c r="P211" s="8"/>
      <c r="Q211" s="92" t="s">
        <v>384</v>
      </c>
      <c r="R211" s="37">
        <f t="shared" si="200"/>
        <v>21309</v>
      </c>
      <c r="S211" s="110">
        <v>21309</v>
      </c>
      <c r="T211" s="37"/>
      <c r="U211" s="7">
        <v>2022</v>
      </c>
      <c r="V211" s="7">
        <v>1</v>
      </c>
      <c r="W211" s="10">
        <f t="shared" si="201"/>
        <v>15601</v>
      </c>
      <c r="X211" s="87">
        <v>15601</v>
      </c>
      <c r="Y211" s="85">
        <v>0</v>
      </c>
      <c r="Z211" s="9"/>
      <c r="AA211" s="10">
        <f t="shared" si="202"/>
        <v>15601</v>
      </c>
      <c r="AB211" s="87">
        <v>15601</v>
      </c>
      <c r="AC211" s="85">
        <v>0</v>
      </c>
      <c r="AD211" s="10">
        <f t="shared" si="204"/>
        <v>15601</v>
      </c>
      <c r="AE211" s="81"/>
      <c r="AF211" s="81">
        <v>8000</v>
      </c>
      <c r="AG211" s="81">
        <v>7300</v>
      </c>
      <c r="AH211" s="87">
        <v>301</v>
      </c>
      <c r="AI211" s="87">
        <v>0</v>
      </c>
      <c r="AJ211" s="87">
        <v>0</v>
      </c>
    </row>
    <row r="212" spans="1:37" ht="45" x14ac:dyDescent="0.25">
      <c r="A212" s="5">
        <v>2</v>
      </c>
      <c r="B212" s="5" t="s">
        <v>223</v>
      </c>
      <c r="C212" s="4">
        <v>1</v>
      </c>
      <c r="D212" s="4">
        <v>4</v>
      </c>
      <c r="E212" s="4">
        <v>19</v>
      </c>
      <c r="F212" s="4"/>
      <c r="G212" s="9">
        <f t="shared" si="206"/>
        <v>15369</v>
      </c>
      <c r="H212" s="9">
        <v>15369</v>
      </c>
      <c r="I212" s="9"/>
      <c r="J212" s="9"/>
      <c r="K212" s="9"/>
      <c r="L212" s="7">
        <v>2021</v>
      </c>
      <c r="M212" s="4">
        <v>1</v>
      </c>
      <c r="N212" s="4">
        <v>7</v>
      </c>
      <c r="O212" s="4">
        <v>19</v>
      </c>
      <c r="P212" s="8"/>
      <c r="Q212" s="92" t="s">
        <v>383</v>
      </c>
      <c r="R212" s="37">
        <f t="shared" si="200"/>
        <v>23502</v>
      </c>
      <c r="S212" s="110">
        <v>23502</v>
      </c>
      <c r="T212" s="37"/>
      <c r="U212" s="7">
        <v>2022</v>
      </c>
      <c r="V212" s="7">
        <v>1</v>
      </c>
      <c r="W212" s="10">
        <f t="shared" si="201"/>
        <v>18590.483</v>
      </c>
      <c r="X212" s="87">
        <v>18590.483</v>
      </c>
      <c r="Y212" s="85">
        <v>0</v>
      </c>
      <c r="Z212" s="9"/>
      <c r="AA212" s="10">
        <f t="shared" si="202"/>
        <v>18590.483</v>
      </c>
      <c r="AB212" s="87">
        <v>18590.483</v>
      </c>
      <c r="AC212" s="85">
        <v>0</v>
      </c>
      <c r="AD212" s="10">
        <f t="shared" si="204"/>
        <v>18590.483</v>
      </c>
      <c r="AE212" s="81"/>
      <c r="AF212" s="81">
        <v>8000</v>
      </c>
      <c r="AG212" s="81">
        <v>7300</v>
      </c>
      <c r="AH212" s="87">
        <v>3290.4830000000002</v>
      </c>
      <c r="AI212" s="87">
        <v>0</v>
      </c>
      <c r="AJ212" s="87">
        <v>0</v>
      </c>
    </row>
    <row r="213" spans="1:37" ht="48" customHeight="1" x14ac:dyDescent="0.25">
      <c r="A213" s="5">
        <v>3</v>
      </c>
      <c r="B213" s="5" t="s">
        <v>224</v>
      </c>
      <c r="C213" s="4">
        <v>1</v>
      </c>
      <c r="D213" s="4">
        <v>8</v>
      </c>
      <c r="E213" s="4">
        <v>25</v>
      </c>
      <c r="F213" s="4"/>
      <c r="G213" s="9">
        <f t="shared" si="206"/>
        <v>20686</v>
      </c>
      <c r="H213" s="9">
        <v>20686</v>
      </c>
      <c r="I213" s="9"/>
      <c r="J213" s="9"/>
      <c r="K213" s="9"/>
      <c r="L213" s="7">
        <v>2021</v>
      </c>
      <c r="M213" s="4">
        <v>1</v>
      </c>
      <c r="N213" s="4">
        <v>8</v>
      </c>
      <c r="O213" s="4">
        <v>25</v>
      </c>
      <c r="P213" s="8"/>
      <c r="Q213" s="92" t="s">
        <v>385</v>
      </c>
      <c r="R213" s="37">
        <f t="shared" si="200"/>
        <v>26327</v>
      </c>
      <c r="S213" s="110">
        <v>26327</v>
      </c>
      <c r="T213" s="37"/>
      <c r="U213" s="7">
        <v>2022</v>
      </c>
      <c r="V213" s="7">
        <v>1</v>
      </c>
      <c r="W213" s="10">
        <f t="shared" si="201"/>
        <v>20600</v>
      </c>
      <c r="X213" s="87">
        <v>20600</v>
      </c>
      <c r="Y213" s="85">
        <v>0</v>
      </c>
      <c r="Z213" s="9"/>
      <c r="AA213" s="10">
        <f t="shared" si="202"/>
        <v>20600</v>
      </c>
      <c r="AB213" s="87">
        <v>20600</v>
      </c>
      <c r="AC213" s="85">
        <v>0</v>
      </c>
      <c r="AD213" s="10">
        <f t="shared" si="204"/>
        <v>20600</v>
      </c>
      <c r="AE213" s="81"/>
      <c r="AF213" s="81">
        <v>10000</v>
      </c>
      <c r="AG213" s="81">
        <v>10600</v>
      </c>
      <c r="AH213" s="87"/>
      <c r="AI213" s="87">
        <v>0</v>
      </c>
      <c r="AJ213" s="87">
        <v>0</v>
      </c>
    </row>
    <row r="214" spans="1:37" ht="48" customHeight="1" x14ac:dyDescent="0.25">
      <c r="A214" s="5">
        <v>4</v>
      </c>
      <c r="B214" s="5" t="s">
        <v>229</v>
      </c>
      <c r="C214" s="4">
        <v>1</v>
      </c>
      <c r="D214" s="4">
        <v>4</v>
      </c>
      <c r="E214" s="4">
        <v>9</v>
      </c>
      <c r="F214" s="4"/>
      <c r="G214" s="9">
        <f t="shared" si="206"/>
        <v>8208</v>
      </c>
      <c r="H214" s="9"/>
      <c r="I214" s="9"/>
      <c r="J214" s="9"/>
      <c r="K214" s="9">
        <v>8208</v>
      </c>
      <c r="L214" s="7">
        <v>2021</v>
      </c>
      <c r="M214" s="4">
        <v>1</v>
      </c>
      <c r="N214" s="4">
        <v>8</v>
      </c>
      <c r="O214" s="4">
        <v>2</v>
      </c>
      <c r="P214" s="8"/>
      <c r="Q214" s="94" t="s">
        <v>391</v>
      </c>
      <c r="R214" s="37">
        <f t="shared" si="200"/>
        <v>6347</v>
      </c>
      <c r="S214" s="37">
        <f>6347-1035</f>
        <v>5312</v>
      </c>
      <c r="T214" s="37">
        <v>1035</v>
      </c>
      <c r="U214" s="7">
        <v>2021</v>
      </c>
      <c r="V214" s="7">
        <v>1</v>
      </c>
      <c r="W214" s="10">
        <f t="shared" si="201"/>
        <v>5423</v>
      </c>
      <c r="X214" s="87">
        <v>5000</v>
      </c>
      <c r="Y214" s="85">
        <v>423</v>
      </c>
      <c r="Z214" s="9"/>
      <c r="AA214" s="10">
        <f t="shared" si="202"/>
        <v>5423</v>
      </c>
      <c r="AB214" s="87">
        <v>5000</v>
      </c>
      <c r="AC214" s="85">
        <v>423</v>
      </c>
      <c r="AD214" s="10">
        <f t="shared" si="204"/>
        <v>5000</v>
      </c>
      <c r="AE214" s="81">
        <v>5000</v>
      </c>
      <c r="AF214" s="81"/>
      <c r="AG214" s="81"/>
      <c r="AH214" s="87">
        <v>0</v>
      </c>
      <c r="AI214" s="87">
        <v>0</v>
      </c>
      <c r="AJ214" s="87">
        <v>0</v>
      </c>
    </row>
    <row r="215" spans="1:37" ht="77.45" customHeight="1" x14ac:dyDescent="0.25">
      <c r="A215" s="5">
        <v>5</v>
      </c>
      <c r="B215" s="5" t="s">
        <v>291</v>
      </c>
      <c r="C215" s="9">
        <v>1</v>
      </c>
      <c r="D215" s="9">
        <v>8</v>
      </c>
      <c r="E215" s="9">
        <v>19</v>
      </c>
      <c r="F215" s="9"/>
      <c r="G215" s="9">
        <f t="shared" si="206"/>
        <v>17529</v>
      </c>
      <c r="H215" s="9"/>
      <c r="I215" s="9"/>
      <c r="J215" s="9"/>
      <c r="K215" s="9">
        <v>17529</v>
      </c>
      <c r="L215" s="70">
        <v>2023</v>
      </c>
      <c r="M215" s="9">
        <v>1</v>
      </c>
      <c r="N215" s="4">
        <v>8</v>
      </c>
      <c r="O215" s="4">
        <v>19</v>
      </c>
      <c r="P215" s="8"/>
      <c r="Q215" s="8"/>
      <c r="R215" s="37">
        <f t="shared" si="200"/>
        <v>53958</v>
      </c>
      <c r="S215" s="9">
        <f>T215+U215+V215</f>
        <v>27991</v>
      </c>
      <c r="T215" s="9">
        <v>25967</v>
      </c>
      <c r="U215" s="7">
        <v>2023</v>
      </c>
      <c r="V215" s="7">
        <v>1</v>
      </c>
      <c r="W215" s="10">
        <f t="shared" si="201"/>
        <v>25800</v>
      </c>
      <c r="X215" s="87">
        <v>25800</v>
      </c>
      <c r="Y215" s="85">
        <v>0</v>
      </c>
      <c r="Z215" s="9"/>
      <c r="AA215" s="10">
        <f t="shared" si="202"/>
        <v>23000</v>
      </c>
      <c r="AB215" s="87">
        <v>23000</v>
      </c>
      <c r="AC215" s="85">
        <v>0</v>
      </c>
      <c r="AD215" s="10">
        <f t="shared" si="204"/>
        <v>25800</v>
      </c>
      <c r="AE215" s="81"/>
      <c r="AF215" s="81"/>
      <c r="AG215" s="81"/>
      <c r="AH215" s="87">
        <v>0</v>
      </c>
      <c r="AI215" s="87">
        <v>12900</v>
      </c>
      <c r="AJ215" s="87">
        <v>12900</v>
      </c>
    </row>
    <row r="216" spans="1:37" ht="40.5" customHeight="1" x14ac:dyDescent="0.25">
      <c r="A216" s="47"/>
      <c r="B216" s="47" t="s">
        <v>64</v>
      </c>
      <c r="C216" s="33">
        <f>SUM(C217:C218)</f>
        <v>2</v>
      </c>
      <c r="D216" s="33">
        <f t="shared" ref="D216:K216" si="207">SUM(D217:D218)</f>
        <v>22</v>
      </c>
      <c r="E216" s="33">
        <f t="shared" si="207"/>
        <v>55</v>
      </c>
      <c r="F216" s="33">
        <f t="shared" si="207"/>
        <v>0</v>
      </c>
      <c r="G216" s="33">
        <f t="shared" si="207"/>
        <v>62287</v>
      </c>
      <c r="H216" s="33">
        <f t="shared" si="207"/>
        <v>44246</v>
      </c>
      <c r="I216" s="33">
        <f t="shared" si="207"/>
        <v>0</v>
      </c>
      <c r="J216" s="33">
        <f t="shared" si="207"/>
        <v>0</v>
      </c>
      <c r="K216" s="33">
        <f t="shared" si="207"/>
        <v>18041</v>
      </c>
      <c r="L216" s="33"/>
      <c r="M216" s="33">
        <f t="shared" ref="M216" si="208">SUM(M217:M218)</f>
        <v>2</v>
      </c>
      <c r="N216" s="33">
        <f t="shared" ref="N216" si="209">SUM(N217:N218)</f>
        <v>34</v>
      </c>
      <c r="O216" s="33">
        <f t="shared" ref="O216" si="210">SUM(O217:O218)</f>
        <v>68</v>
      </c>
      <c r="P216" s="33"/>
      <c r="Q216" s="33"/>
      <c r="R216" s="33">
        <f t="shared" ref="R216" si="211">SUM(R217:R218)</f>
        <v>144499</v>
      </c>
      <c r="S216" s="33">
        <f t="shared" ref="S216" si="212">SUM(S217:S218)</f>
        <v>127499</v>
      </c>
      <c r="T216" s="33">
        <f t="shared" ref="T216" si="213">SUM(T217:T218)</f>
        <v>17000</v>
      </c>
      <c r="U216" s="33"/>
      <c r="V216" s="33"/>
      <c r="W216" s="33">
        <f t="shared" ref="W216" si="214">SUM(W217:W218)</f>
        <v>137002</v>
      </c>
      <c r="X216" s="33">
        <f>SUM(X217:X218)</f>
        <v>120002</v>
      </c>
      <c r="Y216" s="33">
        <f t="shared" ref="Y216" si="215">SUM(Y217:Y218)</f>
        <v>17000</v>
      </c>
      <c r="Z216" s="33">
        <f t="shared" ref="Z216" si="216">SUM(Z217:Z218)</f>
        <v>0</v>
      </c>
      <c r="AA216" s="33">
        <f t="shared" ref="AA216" si="217">SUM(AA217:AA218)</f>
        <v>107730</v>
      </c>
      <c r="AB216" s="33">
        <f t="shared" ref="AB216" si="218">SUM(AB217:AB218)</f>
        <v>90730</v>
      </c>
      <c r="AC216" s="33">
        <f t="shared" ref="AC216" si="219">SUM(AC217:AC218)</f>
        <v>17000</v>
      </c>
      <c r="AD216" s="33">
        <f t="shared" ref="AD216" si="220">SUM(AD217:AD218)</f>
        <v>100730</v>
      </c>
      <c r="AE216" s="33">
        <f t="shared" ref="AE216" si="221">SUM(AE217:AE218)</f>
        <v>0</v>
      </c>
      <c r="AF216" s="33">
        <f t="shared" ref="AF216" si="222">SUM(AF217:AF218)</f>
        <v>10000</v>
      </c>
      <c r="AG216" s="33">
        <f t="shared" ref="AG216" si="223">SUM(AG217:AG218)</f>
        <v>8000</v>
      </c>
      <c r="AH216" s="33">
        <f t="shared" ref="AH216" si="224">SUM(AH217:AH218)</f>
        <v>810</v>
      </c>
      <c r="AI216" s="33">
        <f t="shared" ref="AI216" si="225">SUM(AI217:AI218)</f>
        <v>41920</v>
      </c>
      <c r="AJ216" s="33">
        <f t="shared" ref="AJ216" si="226">SUM(AJ217:AJ218)</f>
        <v>40000</v>
      </c>
    </row>
    <row r="217" spans="1:37" ht="52.15" customHeight="1" x14ac:dyDescent="0.25">
      <c r="A217" s="5">
        <v>1</v>
      </c>
      <c r="B217" s="5" t="s">
        <v>232</v>
      </c>
      <c r="C217" s="4">
        <v>1</v>
      </c>
      <c r="D217" s="4">
        <v>0</v>
      </c>
      <c r="E217" s="4">
        <v>23</v>
      </c>
      <c r="F217" s="4"/>
      <c r="G217" s="9">
        <f>H217+I217+J217+K217</f>
        <v>18041</v>
      </c>
      <c r="H217" s="9"/>
      <c r="I217" s="9"/>
      <c r="J217" s="9"/>
      <c r="K217" s="9">
        <v>18041</v>
      </c>
      <c r="L217" s="7">
        <v>2024</v>
      </c>
      <c r="M217" s="4">
        <v>1</v>
      </c>
      <c r="N217" s="4">
        <v>12</v>
      </c>
      <c r="O217" s="4">
        <v>29</v>
      </c>
      <c r="P217" s="8"/>
      <c r="Q217" s="13" t="s">
        <v>416</v>
      </c>
      <c r="R217" s="37">
        <f t="shared" si="200"/>
        <v>38227</v>
      </c>
      <c r="S217" s="110">
        <v>38227</v>
      </c>
      <c r="T217" s="37"/>
      <c r="U217" s="7">
        <v>2022</v>
      </c>
      <c r="V217" s="7">
        <v>1</v>
      </c>
      <c r="W217" s="10">
        <f t="shared" si="201"/>
        <v>30730</v>
      </c>
      <c r="X217" s="9">
        <v>30730</v>
      </c>
      <c r="Y217" s="9"/>
      <c r="Z217" s="9"/>
      <c r="AA217" s="10">
        <f>AB217+AC217</f>
        <v>30730</v>
      </c>
      <c r="AB217" s="10">
        <v>30730</v>
      </c>
      <c r="AC217" s="10">
        <f>Y217</f>
        <v>0</v>
      </c>
      <c r="AD217" s="10">
        <f t="shared" si="204"/>
        <v>30730</v>
      </c>
      <c r="AE217" s="10"/>
      <c r="AF217" s="10">
        <v>10000</v>
      </c>
      <c r="AG217" s="10">
        <v>8000</v>
      </c>
      <c r="AH217" s="10">
        <v>810</v>
      </c>
      <c r="AI217" s="10">
        <v>11920</v>
      </c>
      <c r="AJ217" s="10"/>
    </row>
    <row r="218" spans="1:37" ht="53.45" customHeight="1" x14ac:dyDescent="0.25">
      <c r="A218" s="5">
        <v>2</v>
      </c>
      <c r="B218" s="5" t="s">
        <v>231</v>
      </c>
      <c r="C218" s="9">
        <v>1</v>
      </c>
      <c r="D218" s="9">
        <v>22</v>
      </c>
      <c r="E218" s="9">
        <v>32</v>
      </c>
      <c r="F218" s="9"/>
      <c r="G218" s="9">
        <f>H218+I218+J218+K218</f>
        <v>44246</v>
      </c>
      <c r="H218" s="9">
        <v>44246</v>
      </c>
      <c r="I218" s="9"/>
      <c r="J218" s="9"/>
      <c r="K218" s="9"/>
      <c r="L218" s="7">
        <v>2021</v>
      </c>
      <c r="M218" s="9">
        <v>1</v>
      </c>
      <c r="N218" s="4">
        <v>22</v>
      </c>
      <c r="O218" s="4">
        <v>39</v>
      </c>
      <c r="P218" s="8"/>
      <c r="Q218" s="13" t="s">
        <v>448</v>
      </c>
      <c r="R218" s="37">
        <f>S218+T218</f>
        <v>106272</v>
      </c>
      <c r="S218" s="9">
        <v>89272</v>
      </c>
      <c r="T218" s="37">
        <v>17000</v>
      </c>
      <c r="U218" s="7">
        <v>2024</v>
      </c>
      <c r="V218" s="7">
        <v>2</v>
      </c>
      <c r="W218" s="10">
        <f t="shared" si="201"/>
        <v>106272</v>
      </c>
      <c r="X218" s="9">
        <v>89272</v>
      </c>
      <c r="Y218" s="9">
        <v>17000</v>
      </c>
      <c r="Z218" s="9"/>
      <c r="AA218" s="10">
        <f>AB218+AC218</f>
        <v>77000</v>
      </c>
      <c r="AB218" s="10">
        <v>60000</v>
      </c>
      <c r="AC218" s="10">
        <v>17000</v>
      </c>
      <c r="AD218" s="10">
        <f>AE218+AF218+AG218+AH218+AI218+AJ218</f>
        <v>70000</v>
      </c>
      <c r="AE218" s="10"/>
      <c r="AF218" s="10"/>
      <c r="AG218" s="10"/>
      <c r="AH218" s="10"/>
      <c r="AI218" s="10">
        <v>30000</v>
      </c>
      <c r="AJ218" s="10">
        <v>40000</v>
      </c>
    </row>
    <row r="219" spans="1:37" ht="39.6" customHeight="1" x14ac:dyDescent="0.25">
      <c r="A219" s="11" t="s">
        <v>166</v>
      </c>
      <c r="B219" s="47" t="s">
        <v>167</v>
      </c>
      <c r="C219" s="49">
        <f t="shared" ref="C219" si="227">C220+C223+C231</f>
        <v>10</v>
      </c>
      <c r="D219" s="49">
        <f t="shared" ref="D219" si="228">D220+D223+D231</f>
        <v>95</v>
      </c>
      <c r="E219" s="49">
        <f t="shared" ref="E219" si="229">E220+E223+E231</f>
        <v>142</v>
      </c>
      <c r="F219" s="49">
        <f t="shared" ref="F219" si="230">F220+F223+F231</f>
        <v>0</v>
      </c>
      <c r="G219" s="49">
        <f t="shared" ref="G219" si="231">G220+G223+G231</f>
        <v>191337</v>
      </c>
      <c r="H219" s="49">
        <f t="shared" ref="H219" si="232">H220+H223+H231</f>
        <v>174691</v>
      </c>
      <c r="I219" s="49">
        <f t="shared" ref="I219" si="233">I220+I223+I231</f>
        <v>0</v>
      </c>
      <c r="J219" s="49">
        <f t="shared" ref="J219" si="234">J220+J223+J231</f>
        <v>4188</v>
      </c>
      <c r="K219" s="49">
        <f t="shared" ref="K219" si="235">K220+K223+K231</f>
        <v>12458</v>
      </c>
      <c r="L219" s="49">
        <f t="shared" ref="L219" si="236">L220+L223+L231</f>
        <v>0</v>
      </c>
      <c r="M219" s="49">
        <f t="shared" ref="M219" si="237">M220+M223+M231</f>
        <v>10</v>
      </c>
      <c r="N219" s="49">
        <f t="shared" ref="N219" si="238">N220+N223+N231</f>
        <v>95</v>
      </c>
      <c r="O219" s="49">
        <f t="shared" ref="O219" si="239">O220+O223+O231</f>
        <v>132</v>
      </c>
      <c r="P219" s="49"/>
      <c r="Q219" s="49">
        <f t="shared" ref="Q219" si="240">Q220+Q223+Q231</f>
        <v>0</v>
      </c>
      <c r="R219" s="49">
        <f t="shared" ref="R219" si="241">R220+R223+R231</f>
        <v>260348</v>
      </c>
      <c r="S219" s="49">
        <f t="shared" ref="S219" si="242">S220+S223+S231</f>
        <v>210448</v>
      </c>
      <c r="T219" s="49">
        <f t="shared" ref="T219" si="243">T220+T223+T231</f>
        <v>49900</v>
      </c>
      <c r="U219" s="49">
        <f t="shared" ref="U219" si="244">U220+U223+U231</f>
        <v>0</v>
      </c>
      <c r="V219" s="49">
        <f t="shared" ref="V219" si="245">V220+V223+V231</f>
        <v>0</v>
      </c>
      <c r="W219" s="49">
        <f t="shared" ref="W219" si="246">W220+W223+W231</f>
        <v>249181.04499999998</v>
      </c>
      <c r="X219" s="49">
        <f t="shared" ref="X219" si="247">X220+X223+X231</f>
        <v>205499.77299999999</v>
      </c>
      <c r="Y219" s="49">
        <f t="shared" ref="Y219" si="248">Y220+Y223+Y231</f>
        <v>43681.272000000004</v>
      </c>
      <c r="Z219" s="49">
        <f t="shared" ref="Z219" si="249">Z220+Z223+Z231</f>
        <v>0</v>
      </c>
      <c r="AA219" s="49">
        <f t="shared" ref="AA219" si="250">AA220+AA223+AA231</f>
        <v>249181.00400000002</v>
      </c>
      <c r="AB219" s="49">
        <f t="shared" ref="AB219" si="251">AB220+AB223+AB231</f>
        <v>205499.77299999999</v>
      </c>
      <c r="AC219" s="49">
        <f t="shared" ref="AC219" si="252">AC220+AC223+AC231</f>
        <v>43681.231</v>
      </c>
      <c r="AD219" s="49">
        <f t="shared" ref="AD219" si="253">AD220+AD223+AD231</f>
        <v>205499.77299999999</v>
      </c>
      <c r="AE219" s="49">
        <f t="shared" ref="AE219" si="254">AE220+AE223+AE231</f>
        <v>60000</v>
      </c>
      <c r="AF219" s="49">
        <f t="shared" ref="AF219" si="255">AF220+AF223+AF231</f>
        <v>49900</v>
      </c>
      <c r="AG219" s="49">
        <f t="shared" ref="AG219" si="256">AG220+AG223+AG231</f>
        <v>61500</v>
      </c>
      <c r="AH219" s="49">
        <f t="shared" ref="AH219" si="257">AH220+AH223+AH231</f>
        <v>25500</v>
      </c>
      <c r="AI219" s="49">
        <f t="shared" ref="AI219" si="258">AI220+AI223+AI231</f>
        <v>8599.7729999999974</v>
      </c>
      <c r="AJ219" s="49">
        <f t="shared" ref="AJ219" si="259">AJ220+AJ223+AJ231</f>
        <v>0</v>
      </c>
      <c r="AK219" s="3"/>
    </row>
    <row r="220" spans="1:37" ht="32.25" customHeight="1" x14ac:dyDescent="0.25">
      <c r="A220" s="5"/>
      <c r="B220" s="27" t="s">
        <v>128</v>
      </c>
      <c r="C220" s="33">
        <f>SUM(C221:C222)</f>
        <v>2</v>
      </c>
      <c r="D220" s="33">
        <f t="shared" ref="D220:AJ220" si="260">SUM(D221:D222)</f>
        <v>14</v>
      </c>
      <c r="E220" s="33">
        <f t="shared" si="260"/>
        <v>30</v>
      </c>
      <c r="F220" s="33">
        <f t="shared" si="260"/>
        <v>0</v>
      </c>
      <c r="G220" s="33">
        <f t="shared" si="260"/>
        <v>43922</v>
      </c>
      <c r="H220" s="33">
        <f t="shared" si="260"/>
        <v>43922</v>
      </c>
      <c r="I220" s="33">
        <f t="shared" si="260"/>
        <v>0</v>
      </c>
      <c r="J220" s="33">
        <f t="shared" si="260"/>
        <v>0</v>
      </c>
      <c r="K220" s="33">
        <f t="shared" si="260"/>
        <v>0</v>
      </c>
      <c r="L220" s="33"/>
      <c r="M220" s="33">
        <f t="shared" si="260"/>
        <v>2</v>
      </c>
      <c r="N220" s="33">
        <f t="shared" si="260"/>
        <v>14</v>
      </c>
      <c r="O220" s="33">
        <f t="shared" si="260"/>
        <v>29</v>
      </c>
      <c r="P220" s="33"/>
      <c r="Q220" s="33">
        <f t="shared" si="260"/>
        <v>0</v>
      </c>
      <c r="R220" s="33">
        <f t="shared" si="260"/>
        <v>49893</v>
      </c>
      <c r="S220" s="33">
        <f t="shared" si="260"/>
        <v>41243</v>
      </c>
      <c r="T220" s="33">
        <f t="shared" si="260"/>
        <v>8650</v>
      </c>
      <c r="U220" s="33"/>
      <c r="V220" s="33"/>
      <c r="W220" s="33">
        <f t="shared" si="260"/>
        <v>49055</v>
      </c>
      <c r="X220" s="33">
        <f>SUM(X221:X222)</f>
        <v>41200</v>
      </c>
      <c r="Y220" s="33">
        <f t="shared" si="260"/>
        <v>7855</v>
      </c>
      <c r="Z220" s="33">
        <f t="shared" si="260"/>
        <v>0</v>
      </c>
      <c r="AA220" s="33">
        <f t="shared" si="260"/>
        <v>49055</v>
      </c>
      <c r="AB220" s="33">
        <f t="shared" si="260"/>
        <v>41200</v>
      </c>
      <c r="AC220" s="33">
        <f t="shared" si="260"/>
        <v>7855</v>
      </c>
      <c r="AD220" s="33">
        <f t="shared" si="260"/>
        <v>41200</v>
      </c>
      <c r="AE220" s="33">
        <f t="shared" si="260"/>
        <v>17000</v>
      </c>
      <c r="AF220" s="33">
        <f t="shared" si="260"/>
        <v>9000</v>
      </c>
      <c r="AG220" s="33">
        <f t="shared" si="260"/>
        <v>12300</v>
      </c>
      <c r="AH220" s="33">
        <f t="shared" si="260"/>
        <v>2900</v>
      </c>
      <c r="AI220" s="33">
        <f t="shared" si="260"/>
        <v>0</v>
      </c>
      <c r="AJ220" s="33">
        <f t="shared" si="260"/>
        <v>0</v>
      </c>
    </row>
    <row r="221" spans="1:37" ht="46.15" customHeight="1" x14ac:dyDescent="0.25">
      <c r="A221" s="5">
        <v>1</v>
      </c>
      <c r="B221" s="28" t="s">
        <v>236</v>
      </c>
      <c r="C221" s="4">
        <v>1</v>
      </c>
      <c r="D221" s="4">
        <v>6</v>
      </c>
      <c r="E221" s="4">
        <v>15</v>
      </c>
      <c r="F221" s="4"/>
      <c r="G221" s="9">
        <f t="shared" ref="G221:G233" si="261">H221+I221+J221+K221</f>
        <v>19936</v>
      </c>
      <c r="H221" s="9">
        <v>19936</v>
      </c>
      <c r="I221" s="9"/>
      <c r="J221" s="9"/>
      <c r="K221" s="9"/>
      <c r="L221" s="7">
        <v>2021</v>
      </c>
      <c r="M221" s="4">
        <v>1</v>
      </c>
      <c r="N221" s="4">
        <v>6</v>
      </c>
      <c r="O221" s="4">
        <v>15</v>
      </c>
      <c r="P221" s="30"/>
      <c r="Q221" s="92" t="s">
        <v>364</v>
      </c>
      <c r="R221" s="37">
        <f t="shared" ref="R221:R233" si="262">S221+T221</f>
        <v>25586</v>
      </c>
      <c r="S221" s="30">
        <v>20830</v>
      </c>
      <c r="T221" s="30">
        <f>25586-20830</f>
        <v>4756</v>
      </c>
      <c r="U221" s="7">
        <v>2021</v>
      </c>
      <c r="V221" s="7">
        <v>2</v>
      </c>
      <c r="W221" s="10">
        <f t="shared" ref="W221:W233" si="263">X221+Y221+Z221</f>
        <v>24793</v>
      </c>
      <c r="X221" s="9">
        <v>20800</v>
      </c>
      <c r="Y221" s="9">
        <v>3993</v>
      </c>
      <c r="Z221" s="9"/>
      <c r="AA221" s="64">
        <f>AB221+AC221</f>
        <v>24793</v>
      </c>
      <c r="AB221" s="18">
        <f>X221</f>
        <v>20800</v>
      </c>
      <c r="AC221" s="10">
        <f>Y221</f>
        <v>3993</v>
      </c>
      <c r="AD221" s="10">
        <f t="shared" ref="AD221:AD233" si="264">AE221+AF221+AG221+AH221+AI221+AJ221</f>
        <v>20800</v>
      </c>
      <c r="AE221" s="10">
        <v>9000</v>
      </c>
      <c r="AF221" s="10">
        <v>5000</v>
      </c>
      <c r="AG221" s="10">
        <v>5300</v>
      </c>
      <c r="AH221" s="10">
        <v>1500</v>
      </c>
      <c r="AI221" s="10"/>
      <c r="AJ221" s="10"/>
    </row>
    <row r="222" spans="1:37" ht="48" customHeight="1" x14ac:dyDescent="0.25">
      <c r="A222" s="22">
        <v>2</v>
      </c>
      <c r="B222" s="28" t="s">
        <v>458</v>
      </c>
      <c r="C222" s="4">
        <v>1</v>
      </c>
      <c r="D222" s="22">
        <v>8</v>
      </c>
      <c r="E222" s="22">
        <v>15</v>
      </c>
      <c r="F222" s="22"/>
      <c r="G222" s="9">
        <f t="shared" si="261"/>
        <v>23986</v>
      </c>
      <c r="H222" s="18">
        <v>23986</v>
      </c>
      <c r="I222" s="18"/>
      <c r="J222" s="18"/>
      <c r="K222" s="18"/>
      <c r="L222" s="6">
        <v>2022</v>
      </c>
      <c r="M222" s="22">
        <v>1</v>
      </c>
      <c r="N222" s="22">
        <v>8</v>
      </c>
      <c r="O222" s="22">
        <v>14</v>
      </c>
      <c r="P222" s="30"/>
      <c r="Q222" s="92" t="s">
        <v>365</v>
      </c>
      <c r="R222" s="37">
        <f t="shared" si="262"/>
        <v>24307</v>
      </c>
      <c r="S222" s="30">
        <v>20413</v>
      </c>
      <c r="T222" s="30">
        <f>24307-20413</f>
        <v>3894</v>
      </c>
      <c r="U222" s="6">
        <v>2021</v>
      </c>
      <c r="V222" s="6">
        <v>1</v>
      </c>
      <c r="W222" s="10">
        <f t="shared" si="263"/>
        <v>24262</v>
      </c>
      <c r="X222" s="18">
        <v>20400</v>
      </c>
      <c r="Y222" s="18">
        <v>3862</v>
      </c>
      <c r="Z222" s="18"/>
      <c r="AA222" s="64">
        <f>AB222+AC222</f>
        <v>24262</v>
      </c>
      <c r="AB222" s="18">
        <f>X222</f>
        <v>20400</v>
      </c>
      <c r="AC222" s="10">
        <f>Y222</f>
        <v>3862</v>
      </c>
      <c r="AD222" s="10">
        <f t="shared" si="264"/>
        <v>20400</v>
      </c>
      <c r="AE222" s="18">
        <v>8000</v>
      </c>
      <c r="AF222" s="18">
        <v>4000</v>
      </c>
      <c r="AG222" s="10">
        <v>7000</v>
      </c>
      <c r="AH222" s="10">
        <v>1400</v>
      </c>
      <c r="AI222" s="10"/>
      <c r="AJ222" s="10"/>
    </row>
    <row r="223" spans="1:37" ht="41.25" customHeight="1" x14ac:dyDescent="0.25">
      <c r="A223" s="22"/>
      <c r="B223" s="27" t="s">
        <v>237</v>
      </c>
      <c r="C223" s="56">
        <f>SUM(C224:C230)</f>
        <v>6</v>
      </c>
      <c r="D223" s="56">
        <f t="shared" ref="D223:AJ223" si="265">SUM(D224:D230)</f>
        <v>66</v>
      </c>
      <c r="E223" s="56">
        <f t="shared" si="265"/>
        <v>60</v>
      </c>
      <c r="F223" s="56">
        <f t="shared" si="265"/>
        <v>0</v>
      </c>
      <c r="G223" s="56">
        <f t="shared" si="265"/>
        <v>91161</v>
      </c>
      <c r="H223" s="56">
        <f t="shared" si="265"/>
        <v>74515</v>
      </c>
      <c r="I223" s="56">
        <f t="shared" si="265"/>
        <v>0</v>
      </c>
      <c r="J223" s="56">
        <f t="shared" si="265"/>
        <v>4188</v>
      </c>
      <c r="K223" s="56">
        <f t="shared" si="265"/>
        <v>12458</v>
      </c>
      <c r="L223" s="56"/>
      <c r="M223" s="56">
        <f t="shared" si="265"/>
        <v>6</v>
      </c>
      <c r="N223" s="56">
        <f t="shared" si="265"/>
        <v>66</v>
      </c>
      <c r="O223" s="56">
        <f t="shared" si="265"/>
        <v>72</v>
      </c>
      <c r="P223" s="56"/>
      <c r="Q223" s="56">
        <f t="shared" si="265"/>
        <v>0</v>
      </c>
      <c r="R223" s="56">
        <f t="shared" si="265"/>
        <v>146132</v>
      </c>
      <c r="S223" s="56">
        <f t="shared" si="265"/>
        <v>120808</v>
      </c>
      <c r="T223" s="56">
        <f t="shared" si="265"/>
        <v>25324</v>
      </c>
      <c r="U223" s="56"/>
      <c r="V223" s="56"/>
      <c r="W223" s="56">
        <f t="shared" si="265"/>
        <v>142053.321</v>
      </c>
      <c r="X223" s="56">
        <f>SUM(X224:X230)</f>
        <v>117400</v>
      </c>
      <c r="Y223" s="56">
        <f t="shared" si="265"/>
        <v>24653.321000000004</v>
      </c>
      <c r="Z223" s="56">
        <f t="shared" si="265"/>
        <v>0</v>
      </c>
      <c r="AA223" s="56">
        <f t="shared" si="265"/>
        <v>142053.28</v>
      </c>
      <c r="AB223" s="56">
        <f t="shared" si="265"/>
        <v>117400</v>
      </c>
      <c r="AC223" s="56">
        <f t="shared" si="265"/>
        <v>24653.280000000002</v>
      </c>
      <c r="AD223" s="56">
        <f t="shared" si="265"/>
        <v>117400</v>
      </c>
      <c r="AE223" s="56">
        <f t="shared" si="265"/>
        <v>34000</v>
      </c>
      <c r="AF223" s="56">
        <f t="shared" si="265"/>
        <v>27400</v>
      </c>
      <c r="AG223" s="56">
        <f t="shared" si="265"/>
        <v>33700</v>
      </c>
      <c r="AH223" s="56">
        <f t="shared" si="265"/>
        <v>22300</v>
      </c>
      <c r="AI223" s="56">
        <f t="shared" si="265"/>
        <v>0</v>
      </c>
      <c r="AJ223" s="56">
        <f t="shared" si="265"/>
        <v>0</v>
      </c>
    </row>
    <row r="224" spans="1:37" ht="45.6" customHeight="1" x14ac:dyDescent="0.25">
      <c r="A224" s="22">
        <v>1</v>
      </c>
      <c r="B224" s="26" t="s">
        <v>168</v>
      </c>
      <c r="C224" s="22">
        <v>1</v>
      </c>
      <c r="D224" s="22">
        <v>10</v>
      </c>
      <c r="E224" s="22">
        <v>13</v>
      </c>
      <c r="F224" s="22"/>
      <c r="G224" s="9">
        <f t="shared" si="261"/>
        <v>15696</v>
      </c>
      <c r="H224" s="18">
        <v>15696</v>
      </c>
      <c r="I224" s="18"/>
      <c r="J224" s="18"/>
      <c r="K224" s="18"/>
      <c r="L224" s="6">
        <v>2021</v>
      </c>
      <c r="M224" s="22">
        <v>1</v>
      </c>
      <c r="N224" s="18">
        <v>10</v>
      </c>
      <c r="O224" s="18">
        <v>11</v>
      </c>
      <c r="P224" s="30"/>
      <c r="Q224" s="92" t="s">
        <v>366</v>
      </c>
      <c r="R224" s="37">
        <f t="shared" si="262"/>
        <v>19270</v>
      </c>
      <c r="S224" s="30">
        <v>17070</v>
      </c>
      <c r="T224" s="30">
        <f>19270-17070</f>
        <v>2200</v>
      </c>
      <c r="U224" s="6">
        <v>2021</v>
      </c>
      <c r="V224" s="29">
        <v>1</v>
      </c>
      <c r="W224" s="10">
        <f t="shared" si="263"/>
        <v>18847.398000000001</v>
      </c>
      <c r="X224" s="87">
        <v>16800</v>
      </c>
      <c r="Y224" s="85">
        <v>2047.3979999999999</v>
      </c>
      <c r="Z224" s="64"/>
      <c r="AA224" s="64">
        <f t="shared" ref="AA224:AA230" si="266">AB224+AC224</f>
        <v>18847.398000000001</v>
      </c>
      <c r="AB224" s="18">
        <f>X224</f>
        <v>16800</v>
      </c>
      <c r="AC224" s="10">
        <f>Y224</f>
        <v>2047.3979999999999</v>
      </c>
      <c r="AD224" s="10">
        <f t="shared" si="264"/>
        <v>16800</v>
      </c>
      <c r="AE224" s="87">
        <v>8000</v>
      </c>
      <c r="AF224" s="87">
        <v>4000</v>
      </c>
      <c r="AG224" s="81">
        <v>5000</v>
      </c>
      <c r="AH224" s="87">
        <v>-200</v>
      </c>
      <c r="AI224" s="87">
        <v>0</v>
      </c>
      <c r="AJ224" s="87">
        <v>0</v>
      </c>
    </row>
    <row r="225" spans="1:37" ht="52.9" customHeight="1" x14ac:dyDescent="0.25">
      <c r="A225" s="22">
        <v>2</v>
      </c>
      <c r="B225" s="26" t="s">
        <v>238</v>
      </c>
      <c r="C225" s="22">
        <v>1</v>
      </c>
      <c r="D225" s="22">
        <v>20</v>
      </c>
      <c r="E225" s="22">
        <v>0</v>
      </c>
      <c r="F225" s="22"/>
      <c r="G225" s="9">
        <f t="shared" si="261"/>
        <v>17048</v>
      </c>
      <c r="H225" s="18">
        <v>14600</v>
      </c>
      <c r="I225" s="18"/>
      <c r="J225" s="18">
        <v>2448</v>
      </c>
      <c r="K225" s="18"/>
      <c r="L225" s="6">
        <v>2021</v>
      </c>
      <c r="M225" s="22">
        <v>1</v>
      </c>
      <c r="N225" s="18">
        <v>20</v>
      </c>
      <c r="O225" s="18">
        <v>1</v>
      </c>
      <c r="P225" s="30"/>
      <c r="Q225" s="92" t="s">
        <v>367</v>
      </c>
      <c r="R225" s="37">
        <f t="shared" si="262"/>
        <v>25628</v>
      </c>
      <c r="S225" s="30">
        <v>21718</v>
      </c>
      <c r="T225" s="30">
        <f>25628-21718</f>
        <v>3910</v>
      </c>
      <c r="U225" s="6">
        <v>2021</v>
      </c>
      <c r="V225" s="29">
        <v>1</v>
      </c>
      <c r="W225" s="10">
        <f t="shared" si="263"/>
        <v>24393.381999999998</v>
      </c>
      <c r="X225" s="87">
        <v>20500</v>
      </c>
      <c r="Y225" s="85">
        <v>3893.3819999999996</v>
      </c>
      <c r="Z225" s="64"/>
      <c r="AA225" s="64">
        <f t="shared" si="266"/>
        <v>24393</v>
      </c>
      <c r="AB225" s="18">
        <f t="shared" ref="AB225:AB230" si="267">X225</f>
        <v>20500</v>
      </c>
      <c r="AC225" s="10">
        <v>3893</v>
      </c>
      <c r="AD225" s="10">
        <f t="shared" si="264"/>
        <v>20500</v>
      </c>
      <c r="AE225" s="87">
        <v>9000</v>
      </c>
      <c r="AF225" s="87">
        <v>5000</v>
      </c>
      <c r="AG225" s="81">
        <v>4500</v>
      </c>
      <c r="AH225" s="87">
        <v>2000</v>
      </c>
      <c r="AI225" s="87">
        <v>0</v>
      </c>
      <c r="AJ225" s="87">
        <v>0</v>
      </c>
    </row>
    <row r="226" spans="1:37" ht="48" customHeight="1" x14ac:dyDescent="0.25">
      <c r="A226" s="22">
        <v>3</v>
      </c>
      <c r="B226" s="26" t="s">
        <v>169</v>
      </c>
      <c r="C226" s="22">
        <v>1</v>
      </c>
      <c r="D226" s="22">
        <v>0</v>
      </c>
      <c r="E226" s="22">
        <v>17</v>
      </c>
      <c r="F226" s="22"/>
      <c r="G226" s="9">
        <f t="shared" si="261"/>
        <v>11312</v>
      </c>
      <c r="H226" s="18">
        <v>11312</v>
      </c>
      <c r="I226" s="18"/>
      <c r="J226" s="18"/>
      <c r="K226" s="18"/>
      <c r="L226" s="6">
        <v>2022</v>
      </c>
      <c r="M226" s="22">
        <v>1</v>
      </c>
      <c r="N226" s="18">
        <v>0</v>
      </c>
      <c r="O226" s="18">
        <v>20</v>
      </c>
      <c r="P226" s="30"/>
      <c r="Q226" s="92" t="s">
        <v>368</v>
      </c>
      <c r="R226" s="37">
        <f t="shared" si="262"/>
        <v>19627</v>
      </c>
      <c r="S226" s="30">
        <v>15066</v>
      </c>
      <c r="T226" s="30">
        <f>19627-15066</f>
        <v>4561</v>
      </c>
      <c r="U226" s="6">
        <v>2021</v>
      </c>
      <c r="V226" s="29">
        <v>1</v>
      </c>
      <c r="W226" s="10">
        <f t="shared" si="263"/>
        <v>19127.659</v>
      </c>
      <c r="X226" s="87">
        <v>15000</v>
      </c>
      <c r="Y226" s="85">
        <v>4127.6590000000006</v>
      </c>
      <c r="Z226" s="64"/>
      <c r="AA226" s="64">
        <f t="shared" si="266"/>
        <v>19128</v>
      </c>
      <c r="AB226" s="18">
        <f t="shared" si="267"/>
        <v>15000</v>
      </c>
      <c r="AC226" s="10">
        <v>4128</v>
      </c>
      <c r="AD226" s="10">
        <f t="shared" si="264"/>
        <v>15000</v>
      </c>
      <c r="AE226" s="87">
        <v>8000</v>
      </c>
      <c r="AF226" s="87">
        <v>3000</v>
      </c>
      <c r="AG226" s="81">
        <v>4000</v>
      </c>
      <c r="AH226" s="87"/>
      <c r="AI226" s="87">
        <v>0</v>
      </c>
      <c r="AJ226" s="87">
        <v>0</v>
      </c>
    </row>
    <row r="227" spans="1:37" ht="51" customHeight="1" x14ac:dyDescent="0.25">
      <c r="A227" s="22">
        <v>4</v>
      </c>
      <c r="B227" s="26" t="s">
        <v>170</v>
      </c>
      <c r="C227" s="22">
        <v>1</v>
      </c>
      <c r="D227" s="22">
        <v>15</v>
      </c>
      <c r="E227" s="22">
        <v>1</v>
      </c>
      <c r="F227" s="22"/>
      <c r="G227" s="9">
        <f t="shared" si="261"/>
        <v>12648</v>
      </c>
      <c r="H227" s="18">
        <v>10908</v>
      </c>
      <c r="I227" s="18"/>
      <c r="J227" s="18">
        <v>1740</v>
      </c>
      <c r="K227" s="18"/>
      <c r="L227" s="6">
        <v>2021</v>
      </c>
      <c r="M227" s="22">
        <v>1</v>
      </c>
      <c r="N227" s="18">
        <v>15</v>
      </c>
      <c r="O227" s="18">
        <v>8</v>
      </c>
      <c r="P227" s="30"/>
      <c r="Q227" s="111" t="s">
        <v>362</v>
      </c>
      <c r="R227" s="37">
        <f t="shared" si="262"/>
        <v>25905</v>
      </c>
      <c r="S227" s="30">
        <v>21018</v>
      </c>
      <c r="T227" s="30">
        <f>25905-21018</f>
        <v>4887</v>
      </c>
      <c r="U227" s="7">
        <v>2022</v>
      </c>
      <c r="V227" s="29">
        <v>1</v>
      </c>
      <c r="W227" s="10">
        <f t="shared" si="263"/>
        <v>25065.563999999998</v>
      </c>
      <c r="X227" s="87">
        <v>20200</v>
      </c>
      <c r="Y227" s="85">
        <v>4865.5640000000003</v>
      </c>
      <c r="Z227" s="64"/>
      <c r="AA227" s="64">
        <f t="shared" si="266"/>
        <v>25065.563999999998</v>
      </c>
      <c r="AB227" s="18">
        <f t="shared" si="267"/>
        <v>20200</v>
      </c>
      <c r="AC227" s="10">
        <f>Y227</f>
        <v>4865.5640000000003</v>
      </c>
      <c r="AD227" s="10">
        <f t="shared" si="264"/>
        <v>20200</v>
      </c>
      <c r="AE227" s="87"/>
      <c r="AF227" s="87">
        <v>4000</v>
      </c>
      <c r="AG227" s="87">
        <v>6900</v>
      </c>
      <c r="AH227" s="87">
        <v>9300</v>
      </c>
      <c r="AI227" s="87">
        <v>0</v>
      </c>
      <c r="AJ227" s="87">
        <v>0</v>
      </c>
    </row>
    <row r="228" spans="1:37" ht="52.15" customHeight="1" x14ac:dyDescent="0.25">
      <c r="A228" s="22">
        <v>5</v>
      </c>
      <c r="B228" s="26" t="s">
        <v>171</v>
      </c>
      <c r="C228" s="22">
        <v>1</v>
      </c>
      <c r="D228" s="22">
        <v>14</v>
      </c>
      <c r="E228" s="22">
        <v>18</v>
      </c>
      <c r="F228" s="22"/>
      <c r="G228" s="9">
        <f t="shared" si="261"/>
        <v>21999</v>
      </c>
      <c r="H228" s="18">
        <v>21999</v>
      </c>
      <c r="I228" s="18"/>
      <c r="J228" s="18"/>
      <c r="K228" s="18"/>
      <c r="L228" s="6">
        <v>2024</v>
      </c>
      <c r="M228" s="22">
        <v>1</v>
      </c>
      <c r="N228" s="18">
        <v>14</v>
      </c>
      <c r="O228" s="18">
        <v>21</v>
      </c>
      <c r="P228" s="30"/>
      <c r="Q228" s="92" t="s">
        <v>369</v>
      </c>
      <c r="R228" s="37">
        <f t="shared" si="262"/>
        <v>33937</v>
      </c>
      <c r="S228" s="30">
        <v>28509</v>
      </c>
      <c r="T228" s="30">
        <f>33937-28509</f>
        <v>5428</v>
      </c>
      <c r="U228" s="6">
        <v>2021</v>
      </c>
      <c r="V228" s="29">
        <v>1</v>
      </c>
      <c r="W228" s="10">
        <f t="shared" si="263"/>
        <v>33381.167999999998</v>
      </c>
      <c r="X228" s="87">
        <v>28000</v>
      </c>
      <c r="Y228" s="85">
        <v>5381.1679999999997</v>
      </c>
      <c r="Z228" s="64"/>
      <c r="AA228" s="64">
        <f t="shared" si="266"/>
        <v>33381.167999999998</v>
      </c>
      <c r="AB228" s="18">
        <f t="shared" si="267"/>
        <v>28000</v>
      </c>
      <c r="AC228" s="10">
        <f>Y228</f>
        <v>5381.1679999999997</v>
      </c>
      <c r="AD228" s="10">
        <f t="shared" si="264"/>
        <v>28000</v>
      </c>
      <c r="AE228" s="87">
        <v>9000</v>
      </c>
      <c r="AF228" s="87">
        <v>6500</v>
      </c>
      <c r="AG228" s="81">
        <v>8500</v>
      </c>
      <c r="AH228" s="87">
        <v>4000</v>
      </c>
      <c r="AI228" s="87">
        <v>0</v>
      </c>
      <c r="AJ228" s="87">
        <v>0</v>
      </c>
    </row>
    <row r="229" spans="1:37" ht="56.45" customHeight="1" x14ac:dyDescent="0.25">
      <c r="A229" s="5">
        <v>6</v>
      </c>
      <c r="B229" s="26" t="s">
        <v>240</v>
      </c>
      <c r="C229" s="22">
        <v>1</v>
      </c>
      <c r="D229" s="22">
        <v>1</v>
      </c>
      <c r="E229" s="22">
        <v>10</v>
      </c>
      <c r="F229" s="22"/>
      <c r="G229" s="9">
        <f t="shared" si="261"/>
        <v>8067</v>
      </c>
      <c r="H229" s="18"/>
      <c r="I229" s="18"/>
      <c r="J229" s="18"/>
      <c r="K229" s="18">
        <v>8067</v>
      </c>
      <c r="L229" s="6">
        <v>2023</v>
      </c>
      <c r="M229" s="22">
        <v>1</v>
      </c>
      <c r="N229" s="18">
        <v>1</v>
      </c>
      <c r="O229" s="18">
        <v>10</v>
      </c>
      <c r="P229" s="30"/>
      <c r="Q229" s="111" t="s">
        <v>370</v>
      </c>
      <c r="R229" s="37">
        <f t="shared" si="262"/>
        <v>9414</v>
      </c>
      <c r="S229" s="72">
        <v>8446</v>
      </c>
      <c r="T229" s="72">
        <f>9414-8446</f>
        <v>968</v>
      </c>
      <c r="U229" s="7">
        <v>2022</v>
      </c>
      <c r="V229" s="29">
        <v>1</v>
      </c>
      <c r="W229" s="10">
        <f t="shared" si="263"/>
        <v>9168.232</v>
      </c>
      <c r="X229" s="87">
        <v>8200</v>
      </c>
      <c r="Y229" s="85">
        <v>968.23199999999997</v>
      </c>
      <c r="Z229" s="64"/>
      <c r="AA229" s="64">
        <f t="shared" si="266"/>
        <v>9168.232</v>
      </c>
      <c r="AB229" s="18">
        <f t="shared" si="267"/>
        <v>8200</v>
      </c>
      <c r="AC229" s="10">
        <f>Y229</f>
        <v>968.23199999999997</v>
      </c>
      <c r="AD229" s="10">
        <f t="shared" si="264"/>
        <v>8200</v>
      </c>
      <c r="AE229" s="87"/>
      <c r="AF229" s="87">
        <v>2400</v>
      </c>
      <c r="AG229" s="81">
        <v>3000</v>
      </c>
      <c r="AH229" s="87">
        <v>2800</v>
      </c>
      <c r="AI229" s="87">
        <v>0</v>
      </c>
      <c r="AJ229" s="87">
        <v>0</v>
      </c>
    </row>
    <row r="230" spans="1:37" ht="47.45" customHeight="1" x14ac:dyDescent="0.25">
      <c r="A230" s="5"/>
      <c r="B230" s="26" t="s">
        <v>241</v>
      </c>
      <c r="C230" s="22"/>
      <c r="D230" s="22">
        <v>6</v>
      </c>
      <c r="E230" s="22">
        <v>1</v>
      </c>
      <c r="F230" s="22"/>
      <c r="G230" s="9">
        <f t="shared" si="261"/>
        <v>4391</v>
      </c>
      <c r="H230" s="18"/>
      <c r="I230" s="18"/>
      <c r="J230" s="18"/>
      <c r="K230" s="18">
        <v>4391</v>
      </c>
      <c r="L230" s="6">
        <v>2023</v>
      </c>
      <c r="M230" s="22"/>
      <c r="N230" s="18">
        <v>6</v>
      </c>
      <c r="O230" s="18">
        <v>1</v>
      </c>
      <c r="P230" s="30"/>
      <c r="Q230" s="111" t="s">
        <v>371</v>
      </c>
      <c r="R230" s="37">
        <f t="shared" si="262"/>
        <v>12351</v>
      </c>
      <c r="S230" s="72">
        <v>8981</v>
      </c>
      <c r="T230" s="72">
        <f>12351-8981</f>
        <v>3370</v>
      </c>
      <c r="U230" s="7">
        <v>2022</v>
      </c>
      <c r="V230" s="29">
        <v>1</v>
      </c>
      <c r="W230" s="10">
        <f t="shared" si="263"/>
        <v>12069.918</v>
      </c>
      <c r="X230" s="87">
        <v>8700</v>
      </c>
      <c r="Y230" s="85">
        <v>3369.9180000000001</v>
      </c>
      <c r="Z230" s="18"/>
      <c r="AA230" s="64">
        <f t="shared" si="266"/>
        <v>12069.918</v>
      </c>
      <c r="AB230" s="18">
        <f t="shared" si="267"/>
        <v>8700</v>
      </c>
      <c r="AC230" s="10">
        <f>Y230</f>
        <v>3369.9180000000001</v>
      </c>
      <c r="AD230" s="10">
        <f t="shared" si="264"/>
        <v>8700</v>
      </c>
      <c r="AE230" s="87"/>
      <c r="AF230" s="87">
        <v>2500</v>
      </c>
      <c r="AG230" s="81">
        <v>1800</v>
      </c>
      <c r="AH230" s="87">
        <v>4400</v>
      </c>
      <c r="AI230" s="87">
        <v>0</v>
      </c>
      <c r="AJ230" s="87">
        <v>0</v>
      </c>
    </row>
    <row r="231" spans="1:37" ht="47.25" customHeight="1" x14ac:dyDescent="0.25">
      <c r="A231" s="5"/>
      <c r="B231" s="47" t="s">
        <v>64</v>
      </c>
      <c r="C231" s="56">
        <f>C232+C233</f>
        <v>2</v>
      </c>
      <c r="D231" s="56">
        <f t="shared" ref="D231:AJ231" si="268">D232+D233</f>
        <v>15</v>
      </c>
      <c r="E231" s="56">
        <f t="shared" si="268"/>
        <v>52</v>
      </c>
      <c r="F231" s="56">
        <f t="shared" si="268"/>
        <v>0</v>
      </c>
      <c r="G231" s="56">
        <f t="shared" si="268"/>
        <v>56254</v>
      </c>
      <c r="H231" s="56">
        <f t="shared" si="268"/>
        <v>56254</v>
      </c>
      <c r="I231" s="56">
        <f t="shared" si="268"/>
        <v>0</v>
      </c>
      <c r="J231" s="56">
        <f t="shared" si="268"/>
        <v>0</v>
      </c>
      <c r="K231" s="56">
        <f t="shared" si="268"/>
        <v>0</v>
      </c>
      <c r="L231" s="56"/>
      <c r="M231" s="56">
        <f t="shared" si="268"/>
        <v>2</v>
      </c>
      <c r="N231" s="56">
        <f t="shared" si="268"/>
        <v>15</v>
      </c>
      <c r="O231" s="56">
        <f t="shared" si="268"/>
        <v>31</v>
      </c>
      <c r="P231" s="56"/>
      <c r="Q231" s="56"/>
      <c r="R231" s="56">
        <f t="shared" si="268"/>
        <v>64323</v>
      </c>
      <c r="S231" s="56">
        <f t="shared" si="268"/>
        <v>48397</v>
      </c>
      <c r="T231" s="56">
        <f t="shared" si="268"/>
        <v>15926</v>
      </c>
      <c r="U231" s="56"/>
      <c r="V231" s="56"/>
      <c r="W231" s="56">
        <f t="shared" si="268"/>
        <v>58072.724000000002</v>
      </c>
      <c r="X231" s="56">
        <f>X232+X233</f>
        <v>46899.773000000001</v>
      </c>
      <c r="Y231" s="56">
        <f t="shared" si="268"/>
        <v>11172.951000000001</v>
      </c>
      <c r="Z231" s="56">
        <f t="shared" si="268"/>
        <v>0</v>
      </c>
      <c r="AA231" s="56">
        <f t="shared" si="268"/>
        <v>58072.724000000002</v>
      </c>
      <c r="AB231" s="56">
        <f t="shared" si="268"/>
        <v>46899.773000000001</v>
      </c>
      <c r="AC231" s="56">
        <f t="shared" si="268"/>
        <v>11172.951000000001</v>
      </c>
      <c r="AD231" s="56">
        <f t="shared" si="268"/>
        <v>46899.773000000001</v>
      </c>
      <c r="AE231" s="56">
        <f t="shared" si="268"/>
        <v>9000</v>
      </c>
      <c r="AF231" s="56">
        <f t="shared" si="268"/>
        <v>13500</v>
      </c>
      <c r="AG231" s="56">
        <f t="shared" si="268"/>
        <v>15500</v>
      </c>
      <c r="AH231" s="56">
        <f t="shared" si="268"/>
        <v>300</v>
      </c>
      <c r="AI231" s="56">
        <f t="shared" si="268"/>
        <v>8599.7729999999974</v>
      </c>
      <c r="AJ231" s="56">
        <f t="shared" si="268"/>
        <v>0</v>
      </c>
    </row>
    <row r="232" spans="1:37" ht="53.45" customHeight="1" x14ac:dyDescent="0.25">
      <c r="A232" s="5">
        <v>1</v>
      </c>
      <c r="B232" s="26" t="s">
        <v>245</v>
      </c>
      <c r="C232" s="22">
        <v>1</v>
      </c>
      <c r="D232" s="22">
        <v>0</v>
      </c>
      <c r="E232" s="22">
        <v>24</v>
      </c>
      <c r="F232" s="22"/>
      <c r="G232" s="9">
        <f t="shared" si="261"/>
        <v>19106</v>
      </c>
      <c r="H232" s="18">
        <v>19106</v>
      </c>
      <c r="I232" s="18"/>
      <c r="J232" s="18"/>
      <c r="K232" s="18"/>
      <c r="L232" s="6">
        <v>2021</v>
      </c>
      <c r="M232" s="22">
        <v>1</v>
      </c>
      <c r="N232" s="18">
        <v>0</v>
      </c>
      <c r="O232" s="18">
        <v>24</v>
      </c>
      <c r="P232" s="30"/>
      <c r="Q232" s="92" t="s">
        <v>372</v>
      </c>
      <c r="R232" s="37">
        <f t="shared" si="262"/>
        <v>23038</v>
      </c>
      <c r="S232" s="30">
        <v>21750</v>
      </c>
      <c r="T232" s="30">
        <f>23038-21750</f>
        <v>1288</v>
      </c>
      <c r="U232" s="7">
        <v>2021</v>
      </c>
      <c r="V232" s="29">
        <v>1</v>
      </c>
      <c r="W232" s="10">
        <f t="shared" si="263"/>
        <v>21568.41</v>
      </c>
      <c r="X232" s="87">
        <v>20300</v>
      </c>
      <c r="Y232" s="85">
        <v>1268.4100000000001</v>
      </c>
      <c r="Z232" s="64"/>
      <c r="AA232" s="64">
        <f>AB232+AC232</f>
        <v>21568.41</v>
      </c>
      <c r="AB232" s="87">
        <v>20300</v>
      </c>
      <c r="AC232" s="85">
        <v>1268.4100000000001</v>
      </c>
      <c r="AD232" s="10">
        <f t="shared" si="264"/>
        <v>20300</v>
      </c>
      <c r="AE232" s="84">
        <v>9000</v>
      </c>
      <c r="AF232" s="84">
        <v>6500</v>
      </c>
      <c r="AG232" s="84">
        <v>6500</v>
      </c>
      <c r="AH232" s="87">
        <v>-1700</v>
      </c>
      <c r="AI232" s="87">
        <v>0</v>
      </c>
      <c r="AJ232" s="87">
        <v>0</v>
      </c>
    </row>
    <row r="233" spans="1:37" ht="48" customHeight="1" x14ac:dyDescent="0.25">
      <c r="A233" s="5">
        <v>2</v>
      </c>
      <c r="B233" s="26" t="s">
        <v>246</v>
      </c>
      <c r="C233" s="22">
        <v>1</v>
      </c>
      <c r="D233" s="22">
        <v>15</v>
      </c>
      <c r="E233" s="22">
        <v>28</v>
      </c>
      <c r="F233" s="22"/>
      <c r="G233" s="9">
        <f t="shared" si="261"/>
        <v>37148</v>
      </c>
      <c r="H233" s="18">
        <v>37148</v>
      </c>
      <c r="I233" s="18"/>
      <c r="J233" s="18"/>
      <c r="K233" s="18"/>
      <c r="L233" s="6">
        <v>2022</v>
      </c>
      <c r="M233" s="22">
        <v>1</v>
      </c>
      <c r="N233" s="64">
        <v>15</v>
      </c>
      <c r="O233" s="18">
        <v>7</v>
      </c>
      <c r="P233" s="30"/>
      <c r="Q233" s="111" t="s">
        <v>363</v>
      </c>
      <c r="R233" s="37">
        <f t="shared" si="262"/>
        <v>41285</v>
      </c>
      <c r="S233" s="72">
        <v>26647</v>
      </c>
      <c r="T233" s="72">
        <f>41285-26647</f>
        <v>14638</v>
      </c>
      <c r="U233" s="7">
        <v>2022</v>
      </c>
      <c r="V233" s="29">
        <v>1</v>
      </c>
      <c r="W233" s="10">
        <f t="shared" si="263"/>
        <v>36504.313999999998</v>
      </c>
      <c r="X233" s="87">
        <v>26599.772999999997</v>
      </c>
      <c r="Y233" s="85">
        <v>9904.5410000000011</v>
      </c>
      <c r="Z233" s="64"/>
      <c r="AA233" s="64">
        <f>AB233+AC233</f>
        <v>36504.313999999998</v>
      </c>
      <c r="AB233" s="87">
        <v>26599.772999999997</v>
      </c>
      <c r="AC233" s="85">
        <v>9904.5410000000011</v>
      </c>
      <c r="AD233" s="10">
        <f t="shared" si="264"/>
        <v>26599.772999999997</v>
      </c>
      <c r="AE233" s="84"/>
      <c r="AF233" s="84">
        <v>7000</v>
      </c>
      <c r="AG233" s="84">
        <v>9000</v>
      </c>
      <c r="AH233" s="87">
        <v>2000</v>
      </c>
      <c r="AI233" s="87">
        <v>8599.7729999999974</v>
      </c>
      <c r="AJ233" s="87">
        <v>0</v>
      </c>
    </row>
    <row r="234" spans="1:37" ht="41.25" customHeight="1" x14ac:dyDescent="0.25">
      <c r="A234" s="11" t="s">
        <v>173</v>
      </c>
      <c r="B234" s="47" t="s">
        <v>174</v>
      </c>
      <c r="C234" s="49">
        <f>C235+C241</f>
        <v>9</v>
      </c>
      <c r="D234" s="49">
        <f t="shared" ref="D234:K234" si="269">D235+D241</f>
        <v>50</v>
      </c>
      <c r="E234" s="49">
        <f t="shared" si="269"/>
        <v>107</v>
      </c>
      <c r="F234" s="49">
        <f t="shared" si="269"/>
        <v>0</v>
      </c>
      <c r="G234" s="49">
        <f t="shared" si="269"/>
        <v>120288</v>
      </c>
      <c r="H234" s="49">
        <f t="shared" si="269"/>
        <v>76362</v>
      </c>
      <c r="I234" s="49">
        <f t="shared" si="269"/>
        <v>0</v>
      </c>
      <c r="J234" s="49">
        <f t="shared" si="269"/>
        <v>4500</v>
      </c>
      <c r="K234" s="49">
        <f t="shared" si="269"/>
        <v>39426</v>
      </c>
      <c r="L234" s="49">
        <f>L235+L241+L336</f>
        <v>0</v>
      </c>
      <c r="M234" s="49">
        <f t="shared" ref="M234" si="270">M235+M241</f>
        <v>9</v>
      </c>
      <c r="N234" s="49">
        <f t="shared" ref="N234" si="271">N235+N241</f>
        <v>52</v>
      </c>
      <c r="O234" s="49">
        <f t="shared" ref="O234" si="272">O235+O241</f>
        <v>114</v>
      </c>
      <c r="P234" s="49"/>
      <c r="Q234" s="49">
        <f>Q235+Q241+Q336</f>
        <v>0</v>
      </c>
      <c r="R234" s="49">
        <f t="shared" ref="R234" si="273">R235+R241</f>
        <v>176919</v>
      </c>
      <c r="S234" s="49">
        <f t="shared" ref="S234" si="274">S235+S241</f>
        <v>170188</v>
      </c>
      <c r="T234" s="49">
        <f t="shared" ref="T234" si="275">T235+T241</f>
        <v>6731</v>
      </c>
      <c r="U234" s="49">
        <f>U235+U241+U336</f>
        <v>0</v>
      </c>
      <c r="V234" s="49">
        <f>V235+V241+V336</f>
        <v>0</v>
      </c>
      <c r="W234" s="49">
        <f t="shared" ref="W234" si="276">W235+W241</f>
        <v>158511</v>
      </c>
      <c r="X234" s="49">
        <f t="shared" ref="X234" si="277">X235+X241</f>
        <v>151780</v>
      </c>
      <c r="Y234" s="49">
        <f t="shared" ref="Y234" si="278">Y235+Y241</f>
        <v>6731</v>
      </c>
      <c r="Z234" s="49">
        <f t="shared" ref="Z234" si="279">Z235+Z241</f>
        <v>0</v>
      </c>
      <c r="AA234" s="49">
        <f t="shared" ref="AA234" si="280">AA235+AA241</f>
        <v>156011</v>
      </c>
      <c r="AB234" s="49">
        <f t="shared" ref="AB234" si="281">AB235+AB241</f>
        <v>149280</v>
      </c>
      <c r="AC234" s="49">
        <f t="shared" ref="AC234" si="282">AC235+AC241</f>
        <v>6731</v>
      </c>
      <c r="AD234" s="49">
        <f t="shared" ref="AD234" si="283">AD235+AD241</f>
        <v>151780</v>
      </c>
      <c r="AE234" s="49">
        <f t="shared" ref="AE234" si="284">AE235+AE241</f>
        <v>23600</v>
      </c>
      <c r="AF234" s="49">
        <f t="shared" ref="AF234" si="285">AF235+AF241</f>
        <v>41210</v>
      </c>
      <c r="AG234" s="49">
        <f t="shared" ref="AG234" si="286">AG235+AG241</f>
        <v>26270</v>
      </c>
      <c r="AH234" s="49">
        <f t="shared" ref="AH234" si="287">AH235+AH241</f>
        <v>14500</v>
      </c>
      <c r="AI234" s="49">
        <f t="shared" ref="AI234" si="288">AI235+AI241</f>
        <v>37200</v>
      </c>
      <c r="AJ234" s="49">
        <f t="shared" ref="AJ234" si="289">AJ235+AJ241</f>
        <v>9000</v>
      </c>
      <c r="AK234" s="3"/>
    </row>
    <row r="235" spans="1:37" ht="41.25" customHeight="1" x14ac:dyDescent="0.25">
      <c r="A235" s="5"/>
      <c r="B235" s="47" t="s">
        <v>29</v>
      </c>
      <c r="C235" s="33">
        <f>SUM(C236:C240)</f>
        <v>5</v>
      </c>
      <c r="D235" s="33">
        <f t="shared" ref="D235:AJ235" si="290">SUM(D236:D240)</f>
        <v>14</v>
      </c>
      <c r="E235" s="33">
        <f t="shared" si="290"/>
        <v>42</v>
      </c>
      <c r="F235" s="33">
        <f t="shared" si="290"/>
        <v>0</v>
      </c>
      <c r="G235" s="33">
        <f t="shared" si="290"/>
        <v>49639</v>
      </c>
      <c r="H235" s="33">
        <f t="shared" si="290"/>
        <v>40623</v>
      </c>
      <c r="I235" s="33">
        <f t="shared" si="290"/>
        <v>0</v>
      </c>
      <c r="J235" s="33">
        <f t="shared" si="290"/>
        <v>0</v>
      </c>
      <c r="K235" s="33">
        <f t="shared" si="290"/>
        <v>9016</v>
      </c>
      <c r="L235" s="33"/>
      <c r="M235" s="33">
        <f t="shared" si="290"/>
        <v>5</v>
      </c>
      <c r="N235" s="33">
        <f t="shared" si="290"/>
        <v>16</v>
      </c>
      <c r="O235" s="33">
        <f t="shared" si="290"/>
        <v>45</v>
      </c>
      <c r="P235" s="33"/>
      <c r="Q235" s="33">
        <f t="shared" si="290"/>
        <v>0</v>
      </c>
      <c r="R235" s="33">
        <f t="shared" si="290"/>
        <v>62743</v>
      </c>
      <c r="S235" s="33">
        <f t="shared" si="290"/>
        <v>62743</v>
      </c>
      <c r="T235" s="33">
        <f t="shared" si="290"/>
        <v>0</v>
      </c>
      <c r="U235" s="33"/>
      <c r="V235" s="33"/>
      <c r="W235" s="33">
        <f t="shared" si="290"/>
        <v>53555</v>
      </c>
      <c r="X235" s="33">
        <f t="shared" si="290"/>
        <v>53555</v>
      </c>
      <c r="Y235" s="33">
        <f t="shared" si="290"/>
        <v>0</v>
      </c>
      <c r="Z235" s="33">
        <f t="shared" si="290"/>
        <v>0</v>
      </c>
      <c r="AA235" s="33">
        <f t="shared" si="290"/>
        <v>53555</v>
      </c>
      <c r="AB235" s="33">
        <f t="shared" si="290"/>
        <v>53555</v>
      </c>
      <c r="AC235" s="33">
        <f t="shared" si="290"/>
        <v>0</v>
      </c>
      <c r="AD235" s="33">
        <f t="shared" si="290"/>
        <v>53555</v>
      </c>
      <c r="AE235" s="33">
        <f t="shared" si="290"/>
        <v>17600</v>
      </c>
      <c r="AF235" s="33">
        <f t="shared" si="290"/>
        <v>20955</v>
      </c>
      <c r="AG235" s="33">
        <f t="shared" si="290"/>
        <v>8500</v>
      </c>
      <c r="AH235" s="33">
        <f t="shared" si="290"/>
        <v>6500</v>
      </c>
      <c r="AI235" s="33">
        <f t="shared" si="290"/>
        <v>0</v>
      </c>
      <c r="AJ235" s="33">
        <f t="shared" si="290"/>
        <v>0</v>
      </c>
    </row>
    <row r="236" spans="1:37" ht="66.75" customHeight="1" x14ac:dyDescent="0.25">
      <c r="A236" s="5">
        <v>1</v>
      </c>
      <c r="B236" s="5" t="s">
        <v>175</v>
      </c>
      <c r="C236" s="4">
        <v>1</v>
      </c>
      <c r="D236" s="4">
        <v>6</v>
      </c>
      <c r="E236" s="4">
        <v>14</v>
      </c>
      <c r="F236" s="4"/>
      <c r="G236" s="9">
        <f>H236+I236+J236+K236</f>
        <v>19308</v>
      </c>
      <c r="H236" s="9">
        <v>19308</v>
      </c>
      <c r="I236" s="9"/>
      <c r="J236" s="9"/>
      <c r="K236" s="9"/>
      <c r="L236" s="7">
        <v>2021</v>
      </c>
      <c r="M236" s="4">
        <v>1</v>
      </c>
      <c r="N236" s="4">
        <v>8</v>
      </c>
      <c r="O236" s="4">
        <v>15</v>
      </c>
      <c r="P236" s="8"/>
      <c r="Q236" s="43" t="s">
        <v>392</v>
      </c>
      <c r="R236" s="37">
        <f>S236+T236</f>
        <v>24118</v>
      </c>
      <c r="S236" s="37">
        <v>24118</v>
      </c>
      <c r="T236" s="37"/>
      <c r="U236" s="7">
        <v>2021</v>
      </c>
      <c r="V236" s="7">
        <v>2</v>
      </c>
      <c r="W236" s="10">
        <f t="shared" ref="W236:W247" si="291">X236+Y236+Z236</f>
        <v>18187</v>
      </c>
      <c r="X236" s="87">
        <v>18187</v>
      </c>
      <c r="Y236" s="85">
        <v>0</v>
      </c>
      <c r="Z236" s="9"/>
      <c r="AA236" s="10">
        <f>AB236+AC236</f>
        <v>18187</v>
      </c>
      <c r="AB236" s="87">
        <v>18187</v>
      </c>
      <c r="AC236" s="85">
        <v>0</v>
      </c>
      <c r="AD236" s="10">
        <f t="shared" ref="AD236:AD247" si="292">AE236+AF236+AG236+AH236+AI236+AJ236</f>
        <v>18187</v>
      </c>
      <c r="AE236" s="81">
        <v>10600</v>
      </c>
      <c r="AF236" s="81">
        <v>7587</v>
      </c>
      <c r="AG236" s="81"/>
      <c r="AH236" s="87">
        <v>0</v>
      </c>
      <c r="AI236" s="87">
        <v>0</v>
      </c>
      <c r="AJ236" s="87">
        <v>0</v>
      </c>
    </row>
    <row r="237" spans="1:37" ht="45" x14ac:dyDescent="0.25">
      <c r="A237" s="5">
        <v>2</v>
      </c>
      <c r="B237" s="5" t="s">
        <v>176</v>
      </c>
      <c r="C237" s="4">
        <v>1</v>
      </c>
      <c r="D237" s="4">
        <v>2</v>
      </c>
      <c r="E237" s="4">
        <v>14</v>
      </c>
      <c r="F237" s="4"/>
      <c r="G237" s="9">
        <f t="shared" ref="G237:G244" si="293">H237+I237+J237+K237</f>
        <v>11095</v>
      </c>
      <c r="H237" s="9">
        <v>11095</v>
      </c>
      <c r="I237" s="9"/>
      <c r="J237" s="9"/>
      <c r="K237" s="9"/>
      <c r="L237" s="7">
        <v>2021</v>
      </c>
      <c r="M237" s="4">
        <v>1</v>
      </c>
      <c r="N237" s="4">
        <v>2</v>
      </c>
      <c r="O237" s="4">
        <v>15</v>
      </c>
      <c r="P237" s="8"/>
      <c r="Q237" s="112" t="s">
        <v>381</v>
      </c>
      <c r="R237" s="37">
        <f t="shared" ref="R237:R244" si="294">S237+T237</f>
        <v>15990</v>
      </c>
      <c r="S237" s="37">
        <v>15990</v>
      </c>
      <c r="T237" s="37"/>
      <c r="U237" s="7">
        <v>2022</v>
      </c>
      <c r="V237" s="7">
        <v>2</v>
      </c>
      <c r="W237" s="10">
        <f t="shared" si="291"/>
        <v>15000</v>
      </c>
      <c r="X237" s="87">
        <v>15000</v>
      </c>
      <c r="Y237" s="85">
        <v>0</v>
      </c>
      <c r="Z237" s="9"/>
      <c r="AA237" s="10">
        <f t="shared" ref="AA237:AA244" si="295">AB237+AC237</f>
        <v>15000</v>
      </c>
      <c r="AB237" s="87">
        <v>15000</v>
      </c>
      <c r="AC237" s="85">
        <v>0</v>
      </c>
      <c r="AD237" s="10">
        <f t="shared" si="292"/>
        <v>15000</v>
      </c>
      <c r="AE237" s="81"/>
      <c r="AF237" s="81">
        <v>5000</v>
      </c>
      <c r="AG237" s="81">
        <v>6000</v>
      </c>
      <c r="AH237" s="87">
        <v>4000</v>
      </c>
      <c r="AI237" s="87">
        <v>0</v>
      </c>
      <c r="AJ237" s="87">
        <v>0</v>
      </c>
    </row>
    <row r="238" spans="1:37" ht="58.15" customHeight="1" x14ac:dyDescent="0.25">
      <c r="A238" s="5">
        <v>3</v>
      </c>
      <c r="B238" s="5" t="s">
        <v>177</v>
      </c>
      <c r="C238" s="4">
        <v>1</v>
      </c>
      <c r="D238" s="4">
        <v>2</v>
      </c>
      <c r="E238" s="4">
        <v>0</v>
      </c>
      <c r="F238" s="4"/>
      <c r="G238" s="9">
        <f t="shared" si="293"/>
        <v>4088</v>
      </c>
      <c r="H238" s="9">
        <v>4088</v>
      </c>
      <c r="I238" s="9"/>
      <c r="J238" s="9"/>
      <c r="K238" s="9"/>
      <c r="L238" s="7">
        <v>2021</v>
      </c>
      <c r="M238" s="4">
        <v>1</v>
      </c>
      <c r="N238" s="4">
        <v>2</v>
      </c>
      <c r="O238" s="4">
        <v>0</v>
      </c>
      <c r="P238" s="8"/>
      <c r="Q238" s="43" t="s">
        <v>394</v>
      </c>
      <c r="R238" s="37">
        <f t="shared" si="294"/>
        <v>4165</v>
      </c>
      <c r="S238" s="37">
        <v>4165</v>
      </c>
      <c r="T238" s="37"/>
      <c r="U238" s="7">
        <v>2021</v>
      </c>
      <c r="V238" s="7">
        <v>2</v>
      </c>
      <c r="W238" s="10">
        <f t="shared" si="291"/>
        <v>3121</v>
      </c>
      <c r="X238" s="87">
        <v>3121</v>
      </c>
      <c r="Y238" s="85">
        <v>0</v>
      </c>
      <c r="Z238" s="9"/>
      <c r="AA238" s="10">
        <f t="shared" si="295"/>
        <v>3121</v>
      </c>
      <c r="AB238" s="87">
        <v>3121</v>
      </c>
      <c r="AC238" s="85">
        <v>0</v>
      </c>
      <c r="AD238" s="10">
        <f t="shared" si="292"/>
        <v>3121</v>
      </c>
      <c r="AE238" s="81">
        <v>3000</v>
      </c>
      <c r="AF238" s="81">
        <v>121</v>
      </c>
      <c r="AG238" s="81"/>
      <c r="AH238" s="87">
        <v>0</v>
      </c>
      <c r="AI238" s="87">
        <v>0</v>
      </c>
      <c r="AJ238" s="87">
        <v>0</v>
      </c>
    </row>
    <row r="239" spans="1:37" ht="61.9" customHeight="1" x14ac:dyDescent="0.25">
      <c r="A239" s="5">
        <v>4</v>
      </c>
      <c r="B239" s="5" t="s">
        <v>178</v>
      </c>
      <c r="C239" s="4">
        <v>1</v>
      </c>
      <c r="D239" s="4">
        <v>1</v>
      </c>
      <c r="E239" s="4">
        <v>14</v>
      </c>
      <c r="F239" s="4"/>
      <c r="G239" s="9">
        <f t="shared" si="293"/>
        <v>9016</v>
      </c>
      <c r="H239" s="9"/>
      <c r="I239" s="9"/>
      <c r="J239" s="9"/>
      <c r="K239" s="9">
        <v>9016</v>
      </c>
      <c r="L239" s="7">
        <v>2022</v>
      </c>
      <c r="M239" s="4">
        <v>1</v>
      </c>
      <c r="N239" s="4">
        <v>1</v>
      </c>
      <c r="O239" s="4">
        <v>15</v>
      </c>
      <c r="P239" s="8"/>
      <c r="Q239" s="43" t="s">
        <v>417</v>
      </c>
      <c r="R239" s="37">
        <f t="shared" si="294"/>
        <v>11839</v>
      </c>
      <c r="S239" s="37">
        <v>11839</v>
      </c>
      <c r="T239" s="37"/>
      <c r="U239" s="7">
        <v>2022</v>
      </c>
      <c r="V239" s="7">
        <v>2</v>
      </c>
      <c r="W239" s="10">
        <f t="shared" si="291"/>
        <v>11500</v>
      </c>
      <c r="X239" s="87">
        <v>11500</v>
      </c>
      <c r="Y239" s="85">
        <v>0</v>
      </c>
      <c r="Z239" s="9"/>
      <c r="AA239" s="10">
        <f t="shared" si="295"/>
        <v>11500</v>
      </c>
      <c r="AB239" s="87">
        <v>11500</v>
      </c>
      <c r="AC239" s="85">
        <v>0</v>
      </c>
      <c r="AD239" s="10">
        <f t="shared" si="292"/>
        <v>11500</v>
      </c>
      <c r="AE239" s="81"/>
      <c r="AF239" s="81">
        <v>6500</v>
      </c>
      <c r="AG239" s="81">
        <v>2500</v>
      </c>
      <c r="AH239" s="87">
        <v>2500</v>
      </c>
      <c r="AI239" s="87">
        <v>0</v>
      </c>
      <c r="AJ239" s="87">
        <v>0</v>
      </c>
    </row>
    <row r="240" spans="1:37" ht="57" customHeight="1" x14ac:dyDescent="0.25">
      <c r="A240" s="5">
        <v>5</v>
      </c>
      <c r="B240" s="5" t="s">
        <v>181</v>
      </c>
      <c r="C240" s="4">
        <v>1</v>
      </c>
      <c r="D240" s="4">
        <v>3</v>
      </c>
      <c r="E240" s="4">
        <v>0</v>
      </c>
      <c r="F240" s="4"/>
      <c r="G240" s="9">
        <f t="shared" si="293"/>
        <v>6132</v>
      </c>
      <c r="H240" s="9">
        <v>6132</v>
      </c>
      <c r="I240" s="9"/>
      <c r="J240" s="9"/>
      <c r="K240" s="9"/>
      <c r="L240" s="7">
        <v>2021</v>
      </c>
      <c r="M240" s="4">
        <v>1</v>
      </c>
      <c r="N240" s="4">
        <v>3</v>
      </c>
      <c r="O240" s="4">
        <v>0</v>
      </c>
      <c r="P240" s="8"/>
      <c r="Q240" s="43" t="s">
        <v>393</v>
      </c>
      <c r="R240" s="37">
        <f t="shared" si="294"/>
        <v>6631</v>
      </c>
      <c r="S240" s="37">
        <v>6631</v>
      </c>
      <c r="T240" s="37"/>
      <c r="U240" s="7">
        <v>2021</v>
      </c>
      <c r="V240" s="7">
        <v>2</v>
      </c>
      <c r="W240" s="10">
        <f t="shared" si="291"/>
        <v>5747</v>
      </c>
      <c r="X240" s="87">
        <v>5747</v>
      </c>
      <c r="Y240" s="85">
        <v>0</v>
      </c>
      <c r="Z240" s="9"/>
      <c r="AA240" s="10">
        <f t="shared" si="295"/>
        <v>5747</v>
      </c>
      <c r="AB240" s="87">
        <v>5747</v>
      </c>
      <c r="AC240" s="85">
        <v>0</v>
      </c>
      <c r="AD240" s="10">
        <f t="shared" si="292"/>
        <v>5747</v>
      </c>
      <c r="AE240" s="81">
        <v>4000</v>
      </c>
      <c r="AF240" s="81">
        <v>1747</v>
      </c>
      <c r="AG240" s="81"/>
      <c r="AH240" s="87">
        <v>0</v>
      </c>
      <c r="AI240" s="87">
        <v>0</v>
      </c>
      <c r="AJ240" s="87">
        <v>0</v>
      </c>
    </row>
    <row r="241" spans="1:38" ht="35.450000000000003" customHeight="1" x14ac:dyDescent="0.25">
      <c r="A241" s="5"/>
      <c r="B241" s="27" t="s">
        <v>237</v>
      </c>
      <c r="C241" s="33">
        <f>SUM(C242:C247)</f>
        <v>4</v>
      </c>
      <c r="D241" s="33">
        <f t="shared" ref="D241:AJ241" si="296">SUM(D242:D247)</f>
        <v>36</v>
      </c>
      <c r="E241" s="33">
        <f t="shared" si="296"/>
        <v>65</v>
      </c>
      <c r="F241" s="33">
        <f t="shared" si="296"/>
        <v>0</v>
      </c>
      <c r="G241" s="33">
        <f t="shared" si="296"/>
        <v>70649</v>
      </c>
      <c r="H241" s="33">
        <f t="shared" si="296"/>
        <v>35739</v>
      </c>
      <c r="I241" s="33">
        <f t="shared" si="296"/>
        <v>0</v>
      </c>
      <c r="J241" s="33">
        <f t="shared" si="296"/>
        <v>4500</v>
      </c>
      <c r="K241" s="33">
        <f t="shared" si="296"/>
        <v>30410</v>
      </c>
      <c r="L241" s="33"/>
      <c r="M241" s="33">
        <f t="shared" si="296"/>
        <v>4</v>
      </c>
      <c r="N241" s="33">
        <f t="shared" si="296"/>
        <v>36</v>
      </c>
      <c r="O241" s="33">
        <f t="shared" si="296"/>
        <v>69</v>
      </c>
      <c r="P241" s="33"/>
      <c r="Q241" s="33">
        <f t="shared" si="296"/>
        <v>0</v>
      </c>
      <c r="R241" s="33">
        <f t="shared" si="296"/>
        <v>114176</v>
      </c>
      <c r="S241" s="33">
        <f t="shared" si="296"/>
        <v>107445</v>
      </c>
      <c r="T241" s="33">
        <f t="shared" si="296"/>
        <v>6731</v>
      </c>
      <c r="U241" s="33"/>
      <c r="V241" s="33"/>
      <c r="W241" s="33">
        <f t="shared" si="296"/>
        <v>104956</v>
      </c>
      <c r="X241" s="33">
        <f t="shared" si="296"/>
        <v>98225</v>
      </c>
      <c r="Y241" s="33">
        <f t="shared" si="296"/>
        <v>6731</v>
      </c>
      <c r="Z241" s="33">
        <f t="shared" si="296"/>
        <v>0</v>
      </c>
      <c r="AA241" s="33">
        <f t="shared" si="296"/>
        <v>102456</v>
      </c>
      <c r="AB241" s="33">
        <f t="shared" si="296"/>
        <v>95725</v>
      </c>
      <c r="AC241" s="33">
        <f t="shared" si="296"/>
        <v>6731</v>
      </c>
      <c r="AD241" s="33">
        <f t="shared" si="296"/>
        <v>98225</v>
      </c>
      <c r="AE241" s="33">
        <f t="shared" si="296"/>
        <v>6000</v>
      </c>
      <c r="AF241" s="33">
        <f t="shared" si="296"/>
        <v>20255</v>
      </c>
      <c r="AG241" s="33">
        <f t="shared" si="296"/>
        <v>17770</v>
      </c>
      <c r="AH241" s="33">
        <f t="shared" si="296"/>
        <v>8000</v>
      </c>
      <c r="AI241" s="33">
        <f t="shared" si="296"/>
        <v>37200</v>
      </c>
      <c r="AJ241" s="33">
        <f t="shared" si="296"/>
        <v>9000</v>
      </c>
    </row>
    <row r="242" spans="1:38" ht="50.45" customHeight="1" x14ac:dyDescent="0.25">
      <c r="A242" s="5">
        <v>1</v>
      </c>
      <c r="B242" s="5" t="s">
        <v>182</v>
      </c>
      <c r="C242" s="4">
        <v>1</v>
      </c>
      <c r="D242" s="4">
        <v>4</v>
      </c>
      <c r="E242" s="4">
        <v>12</v>
      </c>
      <c r="F242" s="4"/>
      <c r="G242" s="9">
        <f t="shared" si="293"/>
        <v>10066</v>
      </c>
      <c r="H242" s="9">
        <v>10066</v>
      </c>
      <c r="I242" s="9"/>
      <c r="J242" s="9"/>
      <c r="K242" s="9"/>
      <c r="L242" s="7">
        <v>2021</v>
      </c>
      <c r="M242" s="4">
        <v>1</v>
      </c>
      <c r="N242" s="4">
        <v>4</v>
      </c>
      <c r="O242" s="4">
        <v>12</v>
      </c>
      <c r="P242" s="8"/>
      <c r="Q242" s="43" t="s">
        <v>395</v>
      </c>
      <c r="R242" s="37">
        <f t="shared" si="294"/>
        <v>14564</v>
      </c>
      <c r="S242" s="37">
        <v>14564</v>
      </c>
      <c r="T242" s="37"/>
      <c r="U242" s="7">
        <v>2021</v>
      </c>
      <c r="V242" s="7">
        <v>2</v>
      </c>
      <c r="W242" s="10">
        <f t="shared" si="291"/>
        <v>12984</v>
      </c>
      <c r="X242" s="10">
        <v>12984</v>
      </c>
      <c r="Y242" s="9"/>
      <c r="Z242" s="9"/>
      <c r="AA242" s="10">
        <f t="shared" si="295"/>
        <v>12984</v>
      </c>
      <c r="AB242" s="10">
        <f>X242</f>
        <v>12984</v>
      </c>
      <c r="AC242" s="10"/>
      <c r="AD242" s="10">
        <f t="shared" si="292"/>
        <v>12984</v>
      </c>
      <c r="AE242" s="10">
        <v>6000</v>
      </c>
      <c r="AF242" s="10">
        <v>6984</v>
      </c>
      <c r="AG242" s="10"/>
      <c r="AH242" s="10"/>
      <c r="AI242" s="10"/>
      <c r="AJ242" s="10"/>
    </row>
    <row r="243" spans="1:38" ht="45" customHeight="1" x14ac:dyDescent="0.25">
      <c r="A243" s="5">
        <v>2</v>
      </c>
      <c r="B243" s="5" t="s">
        <v>185</v>
      </c>
      <c r="C243" s="4">
        <v>1</v>
      </c>
      <c r="D243" s="4">
        <v>4</v>
      </c>
      <c r="E243" s="4">
        <v>10</v>
      </c>
      <c r="F243" s="4"/>
      <c r="G243" s="9">
        <f t="shared" si="293"/>
        <v>9871</v>
      </c>
      <c r="H243" s="9"/>
      <c r="I243" s="9"/>
      <c r="J243" s="9"/>
      <c r="K243" s="9">
        <v>9871</v>
      </c>
      <c r="L243" s="7">
        <v>2022</v>
      </c>
      <c r="M243" s="4">
        <v>1</v>
      </c>
      <c r="N243" s="4">
        <v>4</v>
      </c>
      <c r="O243" s="4">
        <v>10</v>
      </c>
      <c r="P243" s="8"/>
      <c r="Q243" s="112" t="s">
        <v>380</v>
      </c>
      <c r="R243" s="37">
        <f t="shared" si="294"/>
        <v>13291</v>
      </c>
      <c r="S243" s="37">
        <v>13291</v>
      </c>
      <c r="T243" s="37"/>
      <c r="U243" s="7">
        <v>2022</v>
      </c>
      <c r="V243" s="7">
        <v>2</v>
      </c>
      <c r="W243" s="10">
        <f t="shared" si="291"/>
        <v>13000</v>
      </c>
      <c r="X243" s="10">
        <v>13000</v>
      </c>
      <c r="Y243" s="9"/>
      <c r="Z243" s="9"/>
      <c r="AA243" s="10">
        <f t="shared" si="295"/>
        <v>13000</v>
      </c>
      <c r="AB243" s="10">
        <f>X243</f>
        <v>13000</v>
      </c>
      <c r="AC243" s="10">
        <f>Y243</f>
        <v>0</v>
      </c>
      <c r="AD243" s="10">
        <f t="shared" si="292"/>
        <v>13000</v>
      </c>
      <c r="AE243" s="10"/>
      <c r="AF243" s="10">
        <v>4000</v>
      </c>
      <c r="AG243" s="10">
        <v>5800</v>
      </c>
      <c r="AH243" s="10"/>
      <c r="AI243" s="10">
        <v>3200</v>
      </c>
      <c r="AJ243" s="10"/>
    </row>
    <row r="244" spans="1:38" ht="58.9" customHeight="1" x14ac:dyDescent="0.25">
      <c r="A244" s="5">
        <v>3</v>
      </c>
      <c r="B244" s="5" t="s">
        <v>187</v>
      </c>
      <c r="C244" s="4">
        <v>1</v>
      </c>
      <c r="D244" s="4">
        <v>12</v>
      </c>
      <c r="E244" s="4">
        <v>19</v>
      </c>
      <c r="F244" s="4"/>
      <c r="G244" s="9">
        <f t="shared" si="293"/>
        <v>22639</v>
      </c>
      <c r="H244" s="9"/>
      <c r="I244" s="9"/>
      <c r="J244" s="9">
        <v>2100</v>
      </c>
      <c r="K244" s="9">
        <v>20539</v>
      </c>
      <c r="L244" s="7">
        <v>2023</v>
      </c>
      <c r="M244" s="4">
        <v>1</v>
      </c>
      <c r="N244" s="4">
        <v>12</v>
      </c>
      <c r="O244" s="4">
        <v>21</v>
      </c>
      <c r="P244" s="8"/>
      <c r="Q244" s="112" t="s">
        <v>382</v>
      </c>
      <c r="R244" s="37">
        <f t="shared" si="294"/>
        <v>41226</v>
      </c>
      <c r="S244" s="37">
        <v>37376</v>
      </c>
      <c r="T244" s="37">
        <v>3850</v>
      </c>
      <c r="U244" s="7">
        <v>2022</v>
      </c>
      <c r="V244" s="7">
        <v>2</v>
      </c>
      <c r="W244" s="10">
        <f t="shared" si="291"/>
        <v>39221</v>
      </c>
      <c r="X244" s="10">
        <v>35371</v>
      </c>
      <c r="Y244" s="9">
        <f>T244</f>
        <v>3850</v>
      </c>
      <c r="Z244" s="9"/>
      <c r="AA244" s="10">
        <f t="shared" si="295"/>
        <v>39221</v>
      </c>
      <c r="AB244" s="10">
        <f>X244</f>
        <v>35371</v>
      </c>
      <c r="AC244" s="10">
        <f>Y244</f>
        <v>3850</v>
      </c>
      <c r="AD244" s="10">
        <f t="shared" si="292"/>
        <v>35371</v>
      </c>
      <c r="AE244" s="10"/>
      <c r="AF244" s="10">
        <v>6371</v>
      </c>
      <c r="AG244" s="10">
        <v>10000</v>
      </c>
      <c r="AH244" s="10"/>
      <c r="AI244" s="10">
        <v>19000</v>
      </c>
      <c r="AJ244" s="10"/>
    </row>
    <row r="245" spans="1:38" ht="48" customHeight="1" x14ac:dyDescent="0.25">
      <c r="A245" s="5">
        <v>4</v>
      </c>
      <c r="B245" s="5" t="s">
        <v>183</v>
      </c>
      <c r="C245" s="9"/>
      <c r="D245" s="9"/>
      <c r="E245" s="9"/>
      <c r="F245" s="9"/>
      <c r="G245" s="9"/>
      <c r="H245" s="9"/>
      <c r="I245" s="9"/>
      <c r="J245" s="9"/>
      <c r="K245" s="9"/>
      <c r="L245" s="7"/>
      <c r="M245" s="9"/>
      <c r="N245" s="4"/>
      <c r="O245" s="4"/>
      <c r="P245" s="8"/>
      <c r="Q245" s="83"/>
      <c r="R245" s="37"/>
      <c r="S245" s="37"/>
      <c r="T245" s="37"/>
      <c r="U245" s="7"/>
      <c r="V245" s="7"/>
      <c r="W245" s="10">
        <f t="shared" si="291"/>
        <v>0</v>
      </c>
      <c r="X245" s="9"/>
      <c r="Y245" s="9"/>
      <c r="Z245" s="9"/>
      <c r="AA245" s="10"/>
      <c r="AB245" s="10"/>
      <c r="AC245" s="10"/>
      <c r="AD245" s="10">
        <f t="shared" si="292"/>
        <v>0</v>
      </c>
      <c r="AE245" s="10"/>
      <c r="AF245" s="10"/>
      <c r="AG245" s="10"/>
      <c r="AH245" s="10"/>
      <c r="AI245" s="10"/>
      <c r="AJ245" s="10"/>
    </row>
    <row r="246" spans="1:38" ht="54" customHeight="1" x14ac:dyDescent="0.25">
      <c r="A246" s="5"/>
      <c r="B246" s="5" t="s">
        <v>134</v>
      </c>
      <c r="C246" s="9">
        <v>1</v>
      </c>
      <c r="D246" s="9">
        <v>12</v>
      </c>
      <c r="E246" s="9">
        <v>23</v>
      </c>
      <c r="F246" s="9"/>
      <c r="G246" s="9">
        <f t="shared" ref="G246" si="297">H246+I246+J246+K246</f>
        <v>25085</v>
      </c>
      <c r="H246" s="9">
        <v>22685</v>
      </c>
      <c r="I246" s="9"/>
      <c r="J246" s="9">
        <v>2400</v>
      </c>
      <c r="K246" s="9"/>
      <c r="L246" s="7">
        <v>2021</v>
      </c>
      <c r="M246" s="9">
        <v>1</v>
      </c>
      <c r="N246" s="4">
        <v>12</v>
      </c>
      <c r="O246" s="4">
        <v>25</v>
      </c>
      <c r="P246" s="8"/>
      <c r="Q246" s="83" t="s">
        <v>420</v>
      </c>
      <c r="R246" s="37">
        <f t="shared" ref="R246" si="298">S246+T246</f>
        <v>39864</v>
      </c>
      <c r="S246" s="37">
        <v>36983</v>
      </c>
      <c r="T246" s="37">
        <v>2881</v>
      </c>
      <c r="U246" s="7">
        <v>2024</v>
      </c>
      <c r="V246" s="7">
        <v>2</v>
      </c>
      <c r="W246" s="10">
        <f t="shared" si="291"/>
        <v>34881</v>
      </c>
      <c r="X246" s="9">
        <v>32000</v>
      </c>
      <c r="Y246" s="9">
        <v>2881</v>
      </c>
      <c r="Z246" s="9"/>
      <c r="AA246" s="10">
        <f t="shared" ref="AA246" si="299">AB246+AC246</f>
        <v>32381</v>
      </c>
      <c r="AB246" s="10">
        <v>29500</v>
      </c>
      <c r="AC246" s="10">
        <f>Y246</f>
        <v>2881</v>
      </c>
      <c r="AD246" s="10">
        <f t="shared" si="292"/>
        <v>32000</v>
      </c>
      <c r="AE246" s="10"/>
      <c r="AF246" s="10"/>
      <c r="AG246" s="10"/>
      <c r="AH246" s="10">
        <v>8000</v>
      </c>
      <c r="AI246" s="10">
        <v>15000</v>
      </c>
      <c r="AJ246" s="10">
        <v>9000</v>
      </c>
    </row>
    <row r="247" spans="1:38" ht="43.9" customHeight="1" x14ac:dyDescent="0.25">
      <c r="A247" s="5"/>
      <c r="B247" s="5" t="s">
        <v>184</v>
      </c>
      <c r="C247" s="4"/>
      <c r="D247" s="4">
        <v>4</v>
      </c>
      <c r="E247" s="4">
        <v>1</v>
      </c>
      <c r="F247" s="4"/>
      <c r="G247" s="9">
        <f>H247+I247+J247+K247</f>
        <v>2988</v>
      </c>
      <c r="H247" s="9">
        <v>2988</v>
      </c>
      <c r="I247" s="9"/>
      <c r="J247" s="9"/>
      <c r="K247" s="9"/>
      <c r="L247" s="7">
        <v>2022</v>
      </c>
      <c r="M247" s="4"/>
      <c r="N247" s="4">
        <v>4</v>
      </c>
      <c r="O247" s="4">
        <v>1</v>
      </c>
      <c r="P247" s="8"/>
      <c r="Q247" s="43" t="s">
        <v>399</v>
      </c>
      <c r="R247" s="37">
        <f t="shared" ref="R247" si="300">S247+T247</f>
        <v>5231</v>
      </c>
      <c r="S247" s="37">
        <v>5231</v>
      </c>
      <c r="T247" s="37"/>
      <c r="U247" s="7"/>
      <c r="V247" s="7"/>
      <c r="W247" s="10">
        <f t="shared" si="291"/>
        <v>4870</v>
      </c>
      <c r="X247" s="10">
        <v>4870</v>
      </c>
      <c r="Y247" s="9"/>
      <c r="Z247" s="9"/>
      <c r="AA247" s="10">
        <f>AB247+AC247</f>
        <v>4870</v>
      </c>
      <c r="AB247" s="10">
        <f>X247</f>
        <v>4870</v>
      </c>
      <c r="AC247" s="10">
        <f>Y247</f>
        <v>0</v>
      </c>
      <c r="AD247" s="10">
        <f t="shared" si="292"/>
        <v>4870</v>
      </c>
      <c r="AE247" s="10"/>
      <c r="AF247" s="10">
        <v>2900</v>
      </c>
      <c r="AG247" s="10">
        <v>1970</v>
      </c>
      <c r="AH247" s="10"/>
      <c r="AI247" s="10"/>
      <c r="AJ247" s="10"/>
    </row>
    <row r="248" spans="1:38" ht="39" customHeight="1" x14ac:dyDescent="0.25">
      <c r="A248" s="11" t="s">
        <v>275</v>
      </c>
      <c r="B248" s="46" t="s">
        <v>296</v>
      </c>
      <c r="C248" s="49">
        <f>C249+C250+C251+C252</f>
        <v>51</v>
      </c>
      <c r="D248" s="49">
        <f t="shared" ref="D248:K248" si="301">D249+D250+D251+D252</f>
        <v>464</v>
      </c>
      <c r="E248" s="49">
        <f t="shared" si="301"/>
        <v>869</v>
      </c>
      <c r="F248" s="49">
        <f t="shared" si="301"/>
        <v>0</v>
      </c>
      <c r="G248" s="49">
        <f t="shared" si="301"/>
        <v>1117397</v>
      </c>
      <c r="H248" s="49">
        <f t="shared" si="301"/>
        <v>599937</v>
      </c>
      <c r="I248" s="49">
        <f t="shared" si="301"/>
        <v>68275</v>
      </c>
      <c r="J248" s="49">
        <f t="shared" si="301"/>
        <v>41340</v>
      </c>
      <c r="K248" s="49">
        <f t="shared" si="301"/>
        <v>407845</v>
      </c>
      <c r="L248" s="49"/>
      <c r="M248" s="49">
        <f t="shared" ref="M248" si="302">M249+M250+M251+M252</f>
        <v>51</v>
      </c>
      <c r="N248" s="49">
        <f t="shared" ref="N248" si="303">N249+N250+N251+N252</f>
        <v>539</v>
      </c>
      <c r="O248" s="49">
        <f t="shared" ref="O248" si="304">O249+O250+O251+O252</f>
        <v>926</v>
      </c>
      <c r="P248" s="113"/>
      <c r="Q248" s="49">
        <f t="shared" ref="Q248:V248" si="305">Q249+Q250+Q251+Q252</f>
        <v>0</v>
      </c>
      <c r="R248" s="49">
        <f t="shared" ref="R248" si="306">R249+R250+R251+R252</f>
        <v>2144084</v>
      </c>
      <c r="S248" s="49">
        <f t="shared" ref="S248" si="307">S249+S250+S251+S252</f>
        <v>1768845</v>
      </c>
      <c r="T248" s="49">
        <f t="shared" ref="T248" si="308">T249+T250+T251+T252</f>
        <v>375239</v>
      </c>
      <c r="U248" s="49">
        <f t="shared" si="305"/>
        <v>4048</v>
      </c>
      <c r="V248" s="49">
        <f t="shared" si="305"/>
        <v>4</v>
      </c>
      <c r="W248" s="49">
        <f t="shared" ref="W248" si="309">W249+W250+W251+W252</f>
        <v>1914384</v>
      </c>
      <c r="X248" s="49">
        <f t="shared" ref="X248" si="310">X249+X250+X251+X252</f>
        <v>1709905</v>
      </c>
      <c r="Y248" s="49">
        <f t="shared" ref="Y248" si="311">Y249+Y250+Y251+Y252</f>
        <v>204479</v>
      </c>
      <c r="Z248" s="49">
        <f t="shared" ref="Z248" si="312">Z249+Z250+Z251+Z252</f>
        <v>0</v>
      </c>
      <c r="AA248" s="49">
        <f t="shared" ref="AA248" si="313">AA249+AA250+AA251+AA252</f>
        <v>24500</v>
      </c>
      <c r="AB248" s="49">
        <f t="shared" ref="AB248" si="314">AB249+AB250+AB251+AB252</f>
        <v>24500</v>
      </c>
      <c r="AC248" s="49">
        <f t="shared" ref="AC248" si="315">AC249+AC250+AC251+AC252</f>
        <v>0</v>
      </c>
      <c r="AD248" s="49" t="e">
        <f t="shared" ref="AD248" si="316">AD249+AD250+AD251+AD252</f>
        <v>#REF!</v>
      </c>
      <c r="AE248" s="49" t="e">
        <f t="shared" ref="AE248" si="317">AE249+AE250+AE251+AE252</f>
        <v>#REF!</v>
      </c>
      <c r="AF248" s="49" t="e">
        <f t="shared" ref="AF248" si="318">AF249+AF250+AF251+AF252</f>
        <v>#REF!</v>
      </c>
      <c r="AG248" s="49" t="e">
        <f t="shared" ref="AG248" si="319">AG249+AG250+AG251+AG252</f>
        <v>#REF!</v>
      </c>
      <c r="AH248" s="49" t="e">
        <f t="shared" ref="AH248" si="320">AH249+AH250+AH251+AH252</f>
        <v>#REF!</v>
      </c>
      <c r="AI248" s="49" t="e">
        <f t="shared" ref="AI248" si="321">AI249+AI250+AI251+AI252</f>
        <v>#REF!</v>
      </c>
      <c r="AJ248" s="49" t="e">
        <f t="shared" ref="AJ248" si="322">AJ249+AJ250+AJ251+AJ252</f>
        <v>#REF!</v>
      </c>
      <c r="AL248" s="1"/>
    </row>
    <row r="249" spans="1:38" ht="43.15" customHeight="1" x14ac:dyDescent="0.25">
      <c r="A249" s="5">
        <v>1</v>
      </c>
      <c r="B249" s="46" t="s">
        <v>29</v>
      </c>
      <c r="C249" s="49">
        <f>C256+C276+C288+C296+C300+C327</f>
        <v>16</v>
      </c>
      <c r="D249" s="49">
        <f t="shared" ref="D249:AC249" si="323">D256+D276+D288+D296+D300+D327</f>
        <v>131</v>
      </c>
      <c r="E249" s="49">
        <f t="shared" si="323"/>
        <v>206</v>
      </c>
      <c r="F249" s="49">
        <f t="shared" si="323"/>
        <v>0</v>
      </c>
      <c r="G249" s="49">
        <f t="shared" si="323"/>
        <v>380683</v>
      </c>
      <c r="H249" s="49">
        <f t="shared" si="323"/>
        <v>273011</v>
      </c>
      <c r="I249" s="49">
        <f t="shared" si="323"/>
        <v>0</v>
      </c>
      <c r="J249" s="49">
        <f t="shared" si="323"/>
        <v>9120</v>
      </c>
      <c r="K249" s="49">
        <f t="shared" si="323"/>
        <v>98552</v>
      </c>
      <c r="L249" s="49">
        <f t="shared" si="323"/>
        <v>0</v>
      </c>
      <c r="M249" s="49">
        <f t="shared" si="323"/>
        <v>16</v>
      </c>
      <c r="N249" s="49">
        <f t="shared" si="323"/>
        <v>162</v>
      </c>
      <c r="O249" s="49">
        <f t="shared" si="323"/>
        <v>212</v>
      </c>
      <c r="P249" s="49">
        <f t="shared" si="323"/>
        <v>0</v>
      </c>
      <c r="Q249" s="49">
        <f t="shared" si="323"/>
        <v>0</v>
      </c>
      <c r="R249" s="49">
        <f t="shared" si="323"/>
        <v>677960</v>
      </c>
      <c r="S249" s="49">
        <f t="shared" si="323"/>
        <v>603769</v>
      </c>
      <c r="T249" s="49">
        <f t="shared" si="323"/>
        <v>74191</v>
      </c>
      <c r="U249" s="49">
        <f t="shared" si="323"/>
        <v>4048</v>
      </c>
      <c r="V249" s="49">
        <f t="shared" si="323"/>
        <v>4</v>
      </c>
      <c r="W249" s="49">
        <f t="shared" si="323"/>
        <v>638924</v>
      </c>
      <c r="X249" s="49">
        <f t="shared" si="323"/>
        <v>575100</v>
      </c>
      <c r="Y249" s="49">
        <f t="shared" si="323"/>
        <v>63824</v>
      </c>
      <c r="Z249" s="49">
        <f t="shared" si="323"/>
        <v>0</v>
      </c>
      <c r="AA249" s="49">
        <f t="shared" si="323"/>
        <v>8100</v>
      </c>
      <c r="AB249" s="49">
        <f t="shared" si="323"/>
        <v>8100</v>
      </c>
      <c r="AC249" s="49">
        <f t="shared" si="323"/>
        <v>0</v>
      </c>
      <c r="AD249" s="49" t="e">
        <f>AD256+#REF!+AD276+AD288+AD296+AD300+AD327</f>
        <v>#REF!</v>
      </c>
      <c r="AE249" s="49" t="e">
        <f>AE256+#REF!+AE276+AE288+AE296+AE300+AE327</f>
        <v>#REF!</v>
      </c>
      <c r="AF249" s="49" t="e">
        <f>AF256+#REF!+AF276+AF288+AF296+AF300+AF327</f>
        <v>#REF!</v>
      </c>
      <c r="AG249" s="49" t="e">
        <f>AG256+#REF!+AG276+AG288+AG296+AG300+AG327</f>
        <v>#REF!</v>
      </c>
      <c r="AH249" s="49" t="e">
        <f>AH256+#REF!+AH276+AH288+AH296+AH300+AH327</f>
        <v>#REF!</v>
      </c>
      <c r="AI249" s="49" t="e">
        <f>AI256+#REF!+AI276+AI288+AI296+AI300+AI327</f>
        <v>#REF!</v>
      </c>
      <c r="AJ249" s="49" t="e">
        <f>AJ256+#REF!+AJ276+AJ288+AJ296+AJ300+AJ327</f>
        <v>#REF!</v>
      </c>
    </row>
    <row r="250" spans="1:38" ht="35.450000000000003" customHeight="1" x14ac:dyDescent="0.25">
      <c r="A250" s="5">
        <v>2</v>
      </c>
      <c r="B250" s="46" t="s">
        <v>37</v>
      </c>
      <c r="C250" s="49">
        <f t="shared" ref="C250:K250" si="324">C258+C268+C271+C280+C291+C306+C318+C333</f>
        <v>26</v>
      </c>
      <c r="D250" s="49">
        <f t="shared" si="324"/>
        <v>246</v>
      </c>
      <c r="E250" s="49">
        <f t="shared" si="324"/>
        <v>440</v>
      </c>
      <c r="F250" s="49">
        <f t="shared" si="324"/>
        <v>0</v>
      </c>
      <c r="G250" s="49">
        <f t="shared" si="324"/>
        <v>475737</v>
      </c>
      <c r="H250" s="49">
        <f t="shared" si="324"/>
        <v>236632</v>
      </c>
      <c r="I250" s="49">
        <f t="shared" si="324"/>
        <v>0</v>
      </c>
      <c r="J250" s="49">
        <f t="shared" si="324"/>
        <v>23160</v>
      </c>
      <c r="K250" s="49">
        <f t="shared" si="324"/>
        <v>215945</v>
      </c>
      <c r="L250" s="49"/>
      <c r="M250" s="49">
        <f>M258+M268+M271+M280+M291+M306+M318+M333</f>
        <v>26</v>
      </c>
      <c r="N250" s="49">
        <f>N258+N268+N271+N280+N291+N306+N318+N333</f>
        <v>274</v>
      </c>
      <c r="O250" s="49">
        <f>O258+O268+O271+O280+O291+O306+O318+O333</f>
        <v>447</v>
      </c>
      <c r="P250" s="113"/>
      <c r="Q250" s="49"/>
      <c r="R250" s="49">
        <f>R258+R268+R271+R280+R291+R306+R318+R333</f>
        <v>952316</v>
      </c>
      <c r="S250" s="49">
        <f>S258+S268+S271+S280+S291+S306+S318+S333</f>
        <v>705715</v>
      </c>
      <c r="T250" s="49">
        <f>T258+T268+T271+T280+T291+T306+T318+T333</f>
        <v>246601</v>
      </c>
      <c r="U250" s="49"/>
      <c r="V250" s="49"/>
      <c r="W250" s="49">
        <f t="shared" ref="W250:AJ250" si="325">W258+W268+W271+W280+W291+W306+W318+W333</f>
        <v>767412</v>
      </c>
      <c r="X250" s="49">
        <f t="shared" si="325"/>
        <v>681204</v>
      </c>
      <c r="Y250" s="49">
        <f t="shared" si="325"/>
        <v>86208</v>
      </c>
      <c r="Z250" s="49">
        <f t="shared" si="325"/>
        <v>0</v>
      </c>
      <c r="AA250" s="49">
        <f t="shared" si="325"/>
        <v>10800</v>
      </c>
      <c r="AB250" s="49">
        <f t="shared" si="325"/>
        <v>10800</v>
      </c>
      <c r="AC250" s="49">
        <f t="shared" si="325"/>
        <v>0</v>
      </c>
      <c r="AD250" s="49">
        <f t="shared" si="325"/>
        <v>10800</v>
      </c>
      <c r="AE250" s="49">
        <f t="shared" si="325"/>
        <v>0</v>
      </c>
      <c r="AF250" s="49">
        <f t="shared" si="325"/>
        <v>0</v>
      </c>
      <c r="AG250" s="49">
        <f t="shared" si="325"/>
        <v>0</v>
      </c>
      <c r="AH250" s="49">
        <f t="shared" si="325"/>
        <v>0</v>
      </c>
      <c r="AI250" s="49">
        <f t="shared" si="325"/>
        <v>10800</v>
      </c>
      <c r="AJ250" s="49">
        <f t="shared" si="325"/>
        <v>0</v>
      </c>
    </row>
    <row r="251" spans="1:38" ht="25.9" customHeight="1" x14ac:dyDescent="0.25">
      <c r="A251" s="5">
        <v>3</v>
      </c>
      <c r="B251" s="46" t="s">
        <v>44</v>
      </c>
      <c r="C251" s="49">
        <f>C264+C285+C293+C324+C336</f>
        <v>8</v>
      </c>
      <c r="D251" s="49">
        <f>D264+D285+D293+D324+D336</f>
        <v>49</v>
      </c>
      <c r="E251" s="49">
        <f>E264+E285+E293+E324+E336</f>
        <v>177</v>
      </c>
      <c r="F251" s="49"/>
      <c r="G251" s="49">
        <f>G264+G285+G293+G324+G336</f>
        <v>192702</v>
      </c>
      <c r="H251" s="49">
        <f>H264+H285+H293+H324+H336</f>
        <v>90294</v>
      </c>
      <c r="I251" s="49">
        <f>I264+I285+I293+I324+I336</f>
        <v>0</v>
      </c>
      <c r="J251" s="49">
        <f>J264+J285+J293+J324+J336</f>
        <v>9060</v>
      </c>
      <c r="K251" s="49">
        <f>K264+K285+K293+K324+K336</f>
        <v>93348</v>
      </c>
      <c r="L251" s="49"/>
      <c r="M251" s="49">
        <f>M264+M285+M293+M324+M336</f>
        <v>8</v>
      </c>
      <c r="N251" s="49">
        <f>N264+N285+N293+N324+N336</f>
        <v>65</v>
      </c>
      <c r="O251" s="49">
        <f>O264+O285+O293+O324+O336</f>
        <v>221</v>
      </c>
      <c r="P251" s="113"/>
      <c r="Q251" s="49"/>
      <c r="R251" s="49">
        <f>R264+R285+R293+R324+R336</f>
        <v>394492</v>
      </c>
      <c r="S251" s="49">
        <f>S264+S285+S293+S324+S336</f>
        <v>340045</v>
      </c>
      <c r="T251" s="49">
        <f>T264+T285+T293+T324+T336</f>
        <v>54447</v>
      </c>
      <c r="U251" s="49"/>
      <c r="V251" s="49"/>
      <c r="W251" s="49">
        <f t="shared" ref="W251:AJ251" si="326">W264+W285+W293+W324+W336</f>
        <v>388732</v>
      </c>
      <c r="X251" s="49">
        <f t="shared" si="326"/>
        <v>334285</v>
      </c>
      <c r="Y251" s="49">
        <f t="shared" si="326"/>
        <v>54447</v>
      </c>
      <c r="Z251" s="49">
        <f t="shared" si="326"/>
        <v>0</v>
      </c>
      <c r="AA251" s="49">
        <f t="shared" si="326"/>
        <v>4600</v>
      </c>
      <c r="AB251" s="49">
        <f t="shared" si="326"/>
        <v>4600</v>
      </c>
      <c r="AC251" s="49">
        <f t="shared" si="326"/>
        <v>0</v>
      </c>
      <c r="AD251" s="49">
        <f t="shared" si="326"/>
        <v>4600</v>
      </c>
      <c r="AE251" s="49">
        <f t="shared" si="326"/>
        <v>0</v>
      </c>
      <c r="AF251" s="49">
        <f t="shared" si="326"/>
        <v>0</v>
      </c>
      <c r="AG251" s="49">
        <f t="shared" si="326"/>
        <v>0</v>
      </c>
      <c r="AH251" s="49">
        <f t="shared" si="326"/>
        <v>0</v>
      </c>
      <c r="AI251" s="49">
        <f t="shared" si="326"/>
        <v>4600</v>
      </c>
      <c r="AJ251" s="49">
        <f t="shared" si="326"/>
        <v>0</v>
      </c>
    </row>
    <row r="252" spans="1:38" ht="44.45" customHeight="1" x14ac:dyDescent="0.25">
      <c r="A252" s="5">
        <v>4</v>
      </c>
      <c r="B252" s="46" t="s">
        <v>267</v>
      </c>
      <c r="C252" s="49">
        <f>C253</f>
        <v>1</v>
      </c>
      <c r="D252" s="49">
        <f t="shared" ref="D252:K252" si="327">D253</f>
        <v>38</v>
      </c>
      <c r="E252" s="49">
        <f t="shared" si="327"/>
        <v>46</v>
      </c>
      <c r="F252" s="49">
        <f t="shared" si="327"/>
        <v>0</v>
      </c>
      <c r="G252" s="49">
        <f t="shared" si="327"/>
        <v>68275</v>
      </c>
      <c r="H252" s="49">
        <f t="shared" si="327"/>
        <v>0</v>
      </c>
      <c r="I252" s="49">
        <f t="shared" si="327"/>
        <v>68275</v>
      </c>
      <c r="J252" s="49">
        <f t="shared" si="327"/>
        <v>0</v>
      </c>
      <c r="K252" s="49">
        <f t="shared" si="327"/>
        <v>0</v>
      </c>
      <c r="L252" s="49">
        <f t="shared" ref="L252:V252" si="328">L253</f>
        <v>0</v>
      </c>
      <c r="M252" s="49">
        <f t="shared" ref="M252" si="329">M253</f>
        <v>1</v>
      </c>
      <c r="N252" s="49">
        <f t="shared" ref="N252" si="330">N253</f>
        <v>38</v>
      </c>
      <c r="O252" s="49">
        <f t="shared" ref="O252" si="331">O253</f>
        <v>46</v>
      </c>
      <c r="P252" s="113"/>
      <c r="Q252" s="49">
        <f t="shared" si="328"/>
        <v>0</v>
      </c>
      <c r="R252" s="49">
        <f t="shared" ref="R252" si="332">R253</f>
        <v>119316</v>
      </c>
      <c r="S252" s="49">
        <f t="shared" ref="S252" si="333">S253</f>
        <v>119316</v>
      </c>
      <c r="T252" s="49">
        <f t="shared" ref="T252" si="334">T253</f>
        <v>0</v>
      </c>
      <c r="U252" s="49">
        <f t="shared" si="328"/>
        <v>0</v>
      </c>
      <c r="V252" s="49">
        <f t="shared" si="328"/>
        <v>0</v>
      </c>
      <c r="W252" s="49">
        <f t="shared" ref="W252" si="335">W253</f>
        <v>119316</v>
      </c>
      <c r="X252" s="49">
        <f t="shared" ref="X252" si="336">X253</f>
        <v>119316</v>
      </c>
      <c r="Y252" s="49">
        <f t="shared" ref="Y252" si="337">Y253</f>
        <v>0</v>
      </c>
      <c r="Z252" s="49">
        <f t="shared" ref="Z252" si="338">Z253</f>
        <v>0</v>
      </c>
      <c r="AA252" s="49">
        <f t="shared" ref="AA252" si="339">AA253</f>
        <v>1000</v>
      </c>
      <c r="AB252" s="49">
        <f t="shared" ref="AB252" si="340">AB253</f>
        <v>1000</v>
      </c>
      <c r="AC252" s="49">
        <f t="shared" ref="AC252" si="341">AC253</f>
        <v>0</v>
      </c>
      <c r="AD252" s="49">
        <f t="shared" ref="AD252" si="342">AD253</f>
        <v>1000</v>
      </c>
      <c r="AE252" s="49">
        <f t="shared" ref="AE252" si="343">AE253</f>
        <v>0</v>
      </c>
      <c r="AF252" s="49">
        <f t="shared" ref="AF252" si="344">AF253</f>
        <v>0</v>
      </c>
      <c r="AG252" s="49">
        <f t="shared" ref="AG252" si="345">AG253</f>
        <v>0</v>
      </c>
      <c r="AH252" s="49">
        <f t="shared" ref="AH252" si="346">AH253</f>
        <v>0</v>
      </c>
      <c r="AI252" s="49">
        <f t="shared" ref="AI252" si="347">AI253</f>
        <v>1000</v>
      </c>
      <c r="AJ252" s="49">
        <f t="shared" ref="AJ252" si="348">AJ253</f>
        <v>0</v>
      </c>
    </row>
    <row r="253" spans="1:38" ht="34.9" customHeight="1" x14ac:dyDescent="0.25">
      <c r="A253" s="11" t="s">
        <v>17</v>
      </c>
      <c r="B253" s="47" t="s">
        <v>18</v>
      </c>
      <c r="C253" s="49">
        <f>C254</f>
        <v>1</v>
      </c>
      <c r="D253" s="49">
        <f t="shared" ref="D253:M253" si="349">D254</f>
        <v>38</v>
      </c>
      <c r="E253" s="49">
        <f t="shared" si="349"/>
        <v>46</v>
      </c>
      <c r="F253" s="49">
        <f t="shared" si="349"/>
        <v>0</v>
      </c>
      <c r="G253" s="49">
        <f t="shared" si="349"/>
        <v>68275</v>
      </c>
      <c r="H253" s="49">
        <f t="shared" si="349"/>
        <v>0</v>
      </c>
      <c r="I253" s="49">
        <f t="shared" si="349"/>
        <v>68275</v>
      </c>
      <c r="J253" s="49">
        <f t="shared" si="349"/>
        <v>0</v>
      </c>
      <c r="K253" s="49">
        <f t="shared" si="349"/>
        <v>0</v>
      </c>
      <c r="L253" s="49">
        <f t="shared" si="349"/>
        <v>0</v>
      </c>
      <c r="M253" s="49">
        <f t="shared" si="349"/>
        <v>1</v>
      </c>
      <c r="N253" s="49">
        <f t="shared" ref="N253:AJ253" si="350">N254</f>
        <v>38</v>
      </c>
      <c r="O253" s="49">
        <f t="shared" si="350"/>
        <v>46</v>
      </c>
      <c r="P253" s="113"/>
      <c r="Q253" s="49">
        <f t="shared" si="350"/>
        <v>0</v>
      </c>
      <c r="R253" s="49">
        <f t="shared" si="350"/>
        <v>119316</v>
      </c>
      <c r="S253" s="49">
        <f t="shared" si="350"/>
        <v>119316</v>
      </c>
      <c r="T253" s="49">
        <f t="shared" si="350"/>
        <v>0</v>
      </c>
      <c r="U253" s="49"/>
      <c r="V253" s="49"/>
      <c r="W253" s="49">
        <f t="shared" si="350"/>
        <v>119316</v>
      </c>
      <c r="X253" s="49">
        <f t="shared" si="350"/>
        <v>119316</v>
      </c>
      <c r="Y253" s="49">
        <f t="shared" si="350"/>
        <v>0</v>
      </c>
      <c r="Z253" s="49">
        <f t="shared" si="350"/>
        <v>0</v>
      </c>
      <c r="AA253" s="49">
        <f t="shared" si="350"/>
        <v>1000</v>
      </c>
      <c r="AB253" s="49">
        <f t="shared" si="350"/>
        <v>1000</v>
      </c>
      <c r="AC253" s="49">
        <f t="shared" si="350"/>
        <v>0</v>
      </c>
      <c r="AD253" s="49">
        <f t="shared" si="350"/>
        <v>1000</v>
      </c>
      <c r="AE253" s="49">
        <f t="shared" si="350"/>
        <v>0</v>
      </c>
      <c r="AF253" s="49">
        <f t="shared" si="350"/>
        <v>0</v>
      </c>
      <c r="AG253" s="49">
        <f t="shared" si="350"/>
        <v>0</v>
      </c>
      <c r="AH253" s="49">
        <f t="shared" si="350"/>
        <v>0</v>
      </c>
      <c r="AI253" s="49">
        <f t="shared" si="350"/>
        <v>1000</v>
      </c>
      <c r="AJ253" s="49">
        <f t="shared" si="350"/>
        <v>0</v>
      </c>
    </row>
    <row r="254" spans="1:38" ht="43.15" customHeight="1" x14ac:dyDescent="0.25">
      <c r="A254" s="5">
        <v>1</v>
      </c>
      <c r="B254" s="5" t="s">
        <v>23</v>
      </c>
      <c r="C254" s="9">
        <v>1</v>
      </c>
      <c r="D254" s="9">
        <v>38</v>
      </c>
      <c r="E254" s="9">
        <v>46</v>
      </c>
      <c r="F254" s="9"/>
      <c r="G254" s="9">
        <f>H254+I254+J254+K254</f>
        <v>68275</v>
      </c>
      <c r="H254" s="9"/>
      <c r="I254" s="9">
        <v>68275</v>
      </c>
      <c r="J254" s="9"/>
      <c r="K254" s="9"/>
      <c r="L254" s="9"/>
      <c r="M254" s="9">
        <v>1</v>
      </c>
      <c r="N254" s="8">
        <v>38</v>
      </c>
      <c r="O254" s="8">
        <v>46</v>
      </c>
      <c r="P254" s="8"/>
      <c r="Q254" s="8"/>
      <c r="R254" s="37">
        <f t="shared" ref="R254" si="351">S254+T254</f>
        <v>119316</v>
      </c>
      <c r="S254" s="37">
        <v>119316</v>
      </c>
      <c r="T254" s="37"/>
      <c r="U254" s="13">
        <v>2025</v>
      </c>
      <c r="V254" s="13">
        <v>2</v>
      </c>
      <c r="W254" s="10">
        <f t="shared" ref="W254" si="352">X254+Y254+Z254</f>
        <v>119316</v>
      </c>
      <c r="X254" s="39">
        <v>119316</v>
      </c>
      <c r="Y254" s="39">
        <v>0</v>
      </c>
      <c r="Z254" s="39">
        <v>0</v>
      </c>
      <c r="AA254" s="10">
        <v>1000</v>
      </c>
      <c r="AB254" s="10">
        <v>1000</v>
      </c>
      <c r="AC254" s="10">
        <f>Y254</f>
        <v>0</v>
      </c>
      <c r="AD254" s="10">
        <f t="shared" ref="AD254" si="353">AE254+AF254+AG254+AH254+AI254+AJ254</f>
        <v>1000</v>
      </c>
      <c r="AE254" s="10"/>
      <c r="AF254" s="10"/>
      <c r="AG254" s="10"/>
      <c r="AH254" s="10"/>
      <c r="AI254" s="10">
        <v>1000</v>
      </c>
      <c r="AJ254" s="10"/>
    </row>
    <row r="255" spans="1:38" ht="29.45" customHeight="1" x14ac:dyDescent="0.25">
      <c r="A255" s="11" t="s">
        <v>24</v>
      </c>
      <c r="B255" s="47" t="s">
        <v>50</v>
      </c>
      <c r="C255" s="49">
        <f t="shared" ref="C255:M255" si="354">C256+C258+C264</f>
        <v>8</v>
      </c>
      <c r="D255" s="49">
        <f t="shared" si="354"/>
        <v>73</v>
      </c>
      <c r="E255" s="49">
        <f t="shared" si="354"/>
        <v>169</v>
      </c>
      <c r="F255" s="49">
        <f t="shared" si="354"/>
        <v>0</v>
      </c>
      <c r="G255" s="49">
        <f t="shared" si="354"/>
        <v>177788</v>
      </c>
      <c r="H255" s="49">
        <f t="shared" si="354"/>
        <v>122355</v>
      </c>
      <c r="I255" s="49">
        <f t="shared" si="354"/>
        <v>0</v>
      </c>
      <c r="J255" s="49">
        <f t="shared" si="354"/>
        <v>4020</v>
      </c>
      <c r="K255" s="49">
        <f t="shared" si="354"/>
        <v>51413</v>
      </c>
      <c r="L255" s="49">
        <f t="shared" si="354"/>
        <v>0</v>
      </c>
      <c r="M255" s="49">
        <f t="shared" si="354"/>
        <v>8</v>
      </c>
      <c r="N255" s="49">
        <f>N256+N258+N264</f>
        <v>89</v>
      </c>
      <c r="O255" s="49">
        <f>O256+O258+O264</f>
        <v>173</v>
      </c>
      <c r="P255" s="113"/>
      <c r="Q255" s="49">
        <f>Q256+Q258+Q264</f>
        <v>0</v>
      </c>
      <c r="R255" s="49">
        <f>R256+R258+R264</f>
        <v>267020</v>
      </c>
      <c r="S255" s="49">
        <f>S256+S258+S264</f>
        <v>229402</v>
      </c>
      <c r="T255" s="49">
        <f>T256+T258+T264</f>
        <v>37618</v>
      </c>
      <c r="U255" s="49"/>
      <c r="V255" s="49"/>
      <c r="W255" s="49">
        <f>W256+W258+W264</f>
        <v>267020</v>
      </c>
      <c r="X255" s="49">
        <f>X256+X258+X264</f>
        <v>229402</v>
      </c>
      <c r="Y255" s="49">
        <f>Y256+Y258+Y264</f>
        <v>37618</v>
      </c>
      <c r="Z255" s="49">
        <f>Z256+Z258+Z264</f>
        <v>0</v>
      </c>
      <c r="AA255" s="49">
        <f t="shared" ref="AA255:AJ255" si="355">AA256+AA258+AA264</f>
        <v>3900</v>
      </c>
      <c r="AB255" s="49">
        <f t="shared" si="355"/>
        <v>3900</v>
      </c>
      <c r="AC255" s="49">
        <f t="shared" si="355"/>
        <v>0</v>
      </c>
      <c r="AD255" s="49">
        <f t="shared" si="355"/>
        <v>3900</v>
      </c>
      <c r="AE255" s="49">
        <f t="shared" si="355"/>
        <v>0</v>
      </c>
      <c r="AF255" s="49">
        <f t="shared" si="355"/>
        <v>0</v>
      </c>
      <c r="AG255" s="49">
        <f t="shared" si="355"/>
        <v>0</v>
      </c>
      <c r="AH255" s="49">
        <f t="shared" si="355"/>
        <v>0</v>
      </c>
      <c r="AI255" s="49">
        <f t="shared" si="355"/>
        <v>3900</v>
      </c>
      <c r="AJ255" s="49">
        <f t="shared" si="355"/>
        <v>0</v>
      </c>
    </row>
    <row r="256" spans="1:38" ht="33.6" customHeight="1" x14ac:dyDescent="0.25">
      <c r="A256" s="5"/>
      <c r="B256" s="47" t="s">
        <v>29</v>
      </c>
      <c r="C256" s="33">
        <f>C257</f>
        <v>1</v>
      </c>
      <c r="D256" s="33">
        <f t="shared" ref="D256:AJ256" si="356">D257</f>
        <v>9</v>
      </c>
      <c r="E256" s="33">
        <f t="shared" si="356"/>
        <v>15</v>
      </c>
      <c r="F256" s="33">
        <f t="shared" si="356"/>
        <v>0</v>
      </c>
      <c r="G256" s="33">
        <f t="shared" si="356"/>
        <v>25331</v>
      </c>
      <c r="H256" s="33">
        <f t="shared" si="356"/>
        <v>25331</v>
      </c>
      <c r="I256" s="33">
        <f t="shared" si="356"/>
        <v>0</v>
      </c>
      <c r="J256" s="33">
        <f t="shared" si="356"/>
        <v>0</v>
      </c>
      <c r="K256" s="33">
        <f t="shared" si="356"/>
        <v>0</v>
      </c>
      <c r="L256" s="33"/>
      <c r="M256" s="33">
        <f t="shared" si="356"/>
        <v>1</v>
      </c>
      <c r="N256" s="33">
        <f t="shared" si="356"/>
        <v>12</v>
      </c>
      <c r="O256" s="33">
        <f t="shared" si="356"/>
        <v>10</v>
      </c>
      <c r="P256" s="114"/>
      <c r="Q256" s="33">
        <f t="shared" si="356"/>
        <v>0</v>
      </c>
      <c r="R256" s="33">
        <f t="shared" si="356"/>
        <v>35140</v>
      </c>
      <c r="S256" s="33">
        <f t="shared" si="356"/>
        <v>30740</v>
      </c>
      <c r="T256" s="33">
        <f t="shared" si="356"/>
        <v>4400</v>
      </c>
      <c r="U256" s="33"/>
      <c r="V256" s="33"/>
      <c r="W256" s="33">
        <f t="shared" si="356"/>
        <v>35140</v>
      </c>
      <c r="X256" s="33">
        <f t="shared" si="356"/>
        <v>30740</v>
      </c>
      <c r="Y256" s="33">
        <f t="shared" si="356"/>
        <v>4400</v>
      </c>
      <c r="Z256" s="33">
        <f t="shared" si="356"/>
        <v>0</v>
      </c>
      <c r="AA256" s="33">
        <f t="shared" si="356"/>
        <v>500</v>
      </c>
      <c r="AB256" s="33">
        <f t="shared" si="356"/>
        <v>500</v>
      </c>
      <c r="AC256" s="33">
        <f t="shared" si="356"/>
        <v>0</v>
      </c>
      <c r="AD256" s="33">
        <f t="shared" si="356"/>
        <v>500</v>
      </c>
      <c r="AE256" s="33">
        <f t="shared" si="356"/>
        <v>0</v>
      </c>
      <c r="AF256" s="33">
        <f t="shared" si="356"/>
        <v>0</v>
      </c>
      <c r="AG256" s="33">
        <f t="shared" si="356"/>
        <v>0</v>
      </c>
      <c r="AH256" s="33">
        <f t="shared" si="356"/>
        <v>0</v>
      </c>
      <c r="AI256" s="33">
        <f t="shared" si="356"/>
        <v>500</v>
      </c>
      <c r="AJ256" s="33">
        <f t="shared" si="356"/>
        <v>0</v>
      </c>
    </row>
    <row r="257" spans="1:36" ht="45.6" customHeight="1" x14ac:dyDescent="0.25">
      <c r="A257" s="5">
        <v>1</v>
      </c>
      <c r="B257" s="5" t="s">
        <v>51</v>
      </c>
      <c r="C257" s="9">
        <v>1</v>
      </c>
      <c r="D257" s="9">
        <v>9</v>
      </c>
      <c r="E257" s="9">
        <v>15</v>
      </c>
      <c r="F257" s="9"/>
      <c r="G257" s="9">
        <f>H257+I257+J257+K257</f>
        <v>25331</v>
      </c>
      <c r="H257" s="9">
        <v>25331</v>
      </c>
      <c r="I257" s="9"/>
      <c r="J257" s="9"/>
      <c r="K257" s="9"/>
      <c r="L257" s="5">
        <v>2021</v>
      </c>
      <c r="M257" s="9">
        <v>1</v>
      </c>
      <c r="N257" s="5">
        <v>12</v>
      </c>
      <c r="O257" s="5">
        <v>10</v>
      </c>
      <c r="P257" s="8"/>
      <c r="Q257" s="8"/>
      <c r="R257" s="37">
        <f t="shared" ref="R257" si="357">S257+T257</f>
        <v>35140</v>
      </c>
      <c r="S257" s="73">
        <v>30740</v>
      </c>
      <c r="T257" s="73">
        <v>4400</v>
      </c>
      <c r="U257" s="7">
        <v>2025</v>
      </c>
      <c r="V257" s="7">
        <v>2</v>
      </c>
      <c r="W257" s="10">
        <f t="shared" ref="W257:W266" si="358">X257+Y257+Z257</f>
        <v>35140</v>
      </c>
      <c r="X257" s="73">
        <f>35140-4400</f>
        <v>30740</v>
      </c>
      <c r="Y257" s="73">
        <v>4400</v>
      </c>
      <c r="Z257" s="9"/>
      <c r="AA257" s="10">
        <f>AB257+AC257</f>
        <v>500</v>
      </c>
      <c r="AB257" s="10">
        <v>500</v>
      </c>
      <c r="AC257" s="10"/>
      <c r="AD257" s="10">
        <f t="shared" ref="AD257:AD266" si="359">AE257+AF257+AG257+AH257+AI257+AJ257</f>
        <v>500</v>
      </c>
      <c r="AE257" s="10"/>
      <c r="AF257" s="10"/>
      <c r="AG257" s="10"/>
      <c r="AH257" s="10"/>
      <c r="AI257" s="10">
        <f>AB257</f>
        <v>500</v>
      </c>
      <c r="AJ257" s="10"/>
    </row>
    <row r="258" spans="1:36" ht="30" customHeight="1" x14ac:dyDescent="0.25">
      <c r="A258" s="5"/>
      <c r="B258" s="47" t="s">
        <v>37</v>
      </c>
      <c r="C258" s="33">
        <f>SUM(C259:C263)</f>
        <v>5</v>
      </c>
      <c r="D258" s="33">
        <f t="shared" ref="D258:K258" si="360">SUM(D259:D263)</f>
        <v>64</v>
      </c>
      <c r="E258" s="33">
        <f t="shared" si="360"/>
        <v>106</v>
      </c>
      <c r="F258" s="33">
        <f t="shared" si="360"/>
        <v>0</v>
      </c>
      <c r="G258" s="33">
        <f t="shared" si="360"/>
        <v>113854</v>
      </c>
      <c r="H258" s="33">
        <f t="shared" si="360"/>
        <v>58421</v>
      </c>
      <c r="I258" s="33">
        <f t="shared" si="360"/>
        <v>0</v>
      </c>
      <c r="J258" s="33">
        <f t="shared" si="360"/>
        <v>4020</v>
      </c>
      <c r="K258" s="33">
        <f t="shared" si="360"/>
        <v>51413</v>
      </c>
      <c r="L258" s="33"/>
      <c r="M258" s="33">
        <f t="shared" ref="M258" si="361">SUM(M259:M263)</f>
        <v>5</v>
      </c>
      <c r="N258" s="33">
        <f t="shared" ref="N258" si="362">SUM(N259:N263)</f>
        <v>77</v>
      </c>
      <c r="O258" s="33">
        <f t="shared" ref="O258" si="363">SUM(O259:O263)</f>
        <v>110</v>
      </c>
      <c r="P258" s="114"/>
      <c r="Q258" s="33">
        <f>Q59+Q259+Q260+Q261+Q262+Q263</f>
        <v>0</v>
      </c>
      <c r="R258" s="33">
        <f t="shared" ref="R258" si="364">SUM(R259:R263)</f>
        <v>178261</v>
      </c>
      <c r="S258" s="33">
        <f t="shared" ref="S258" si="365">SUM(S259:S263)</f>
        <v>155581</v>
      </c>
      <c r="T258" s="33">
        <f t="shared" ref="T258" si="366">SUM(T259:T263)</f>
        <v>22680</v>
      </c>
      <c r="U258" s="33"/>
      <c r="V258" s="33"/>
      <c r="W258" s="33">
        <f t="shared" ref="W258" si="367">SUM(W259:W263)</f>
        <v>178261</v>
      </c>
      <c r="X258" s="33">
        <f t="shared" ref="X258" si="368">SUM(X259:X263)</f>
        <v>155581</v>
      </c>
      <c r="Y258" s="33">
        <f t="shared" ref="Y258" si="369">SUM(Y259:Y263)</f>
        <v>22680</v>
      </c>
      <c r="Z258" s="33">
        <f t="shared" ref="Z258" si="370">SUM(Z259:Z263)</f>
        <v>0</v>
      </c>
      <c r="AA258" s="33">
        <f t="shared" ref="AA258" si="371">SUM(AA259:AA263)</f>
        <v>2400</v>
      </c>
      <c r="AB258" s="33">
        <f t="shared" ref="AB258" si="372">SUM(AB259:AB263)</f>
        <v>2400</v>
      </c>
      <c r="AC258" s="33">
        <f t="shared" ref="AC258" si="373">SUM(AC259:AC263)</f>
        <v>0</v>
      </c>
      <c r="AD258" s="33">
        <f t="shared" ref="AD258" si="374">SUM(AD259:AD263)</f>
        <v>2400</v>
      </c>
      <c r="AE258" s="33">
        <f t="shared" ref="AE258" si="375">SUM(AE259:AE263)</f>
        <v>0</v>
      </c>
      <c r="AF258" s="33">
        <f t="shared" ref="AF258" si="376">SUM(AF259:AF263)</f>
        <v>0</v>
      </c>
      <c r="AG258" s="33">
        <f t="shared" ref="AG258" si="377">SUM(AG259:AG263)</f>
        <v>0</v>
      </c>
      <c r="AH258" s="33">
        <f t="shared" ref="AH258" si="378">SUM(AH259:AH263)</f>
        <v>0</v>
      </c>
      <c r="AI258" s="33">
        <f t="shared" ref="AI258" si="379">SUM(AI259:AI263)</f>
        <v>2400</v>
      </c>
      <c r="AJ258" s="33">
        <f t="shared" ref="AJ258" si="380">SUM(AJ259:AJ263)</f>
        <v>0</v>
      </c>
    </row>
    <row r="259" spans="1:36" ht="60.6" customHeight="1" x14ac:dyDescent="0.25">
      <c r="A259" s="5">
        <v>1</v>
      </c>
      <c r="B259" s="5" t="s">
        <v>56</v>
      </c>
      <c r="C259" s="9">
        <v>1</v>
      </c>
      <c r="D259" s="9">
        <v>24</v>
      </c>
      <c r="E259" s="9">
        <v>22</v>
      </c>
      <c r="F259" s="9"/>
      <c r="G259" s="9">
        <f>H259+I259+J259+K259</f>
        <v>29780</v>
      </c>
      <c r="H259" s="9">
        <v>29780</v>
      </c>
      <c r="I259" s="9"/>
      <c r="J259" s="9"/>
      <c r="K259" s="9"/>
      <c r="L259" s="7">
        <v>2022</v>
      </c>
      <c r="M259" s="9">
        <v>1</v>
      </c>
      <c r="N259" s="75">
        <v>24</v>
      </c>
      <c r="O259" s="75">
        <v>22</v>
      </c>
      <c r="P259" s="8"/>
      <c r="Q259" s="8"/>
      <c r="R259" s="37">
        <f>S259+T259</f>
        <v>41496</v>
      </c>
      <c r="S259" s="73">
        <v>33295</v>
      </c>
      <c r="T259" s="73">
        <v>8201</v>
      </c>
      <c r="U259" s="7">
        <v>2024</v>
      </c>
      <c r="V259" s="7">
        <v>2</v>
      </c>
      <c r="W259" s="10">
        <f t="shared" si="358"/>
        <v>41496</v>
      </c>
      <c r="X259" s="73">
        <v>33295</v>
      </c>
      <c r="Y259" s="73">
        <v>8201</v>
      </c>
      <c r="Z259" s="9"/>
      <c r="AA259" s="10">
        <f>AB259+AC259</f>
        <v>500</v>
      </c>
      <c r="AB259" s="29">
        <v>500</v>
      </c>
      <c r="AC259" s="29"/>
      <c r="AD259" s="10">
        <f t="shared" si="359"/>
        <v>500</v>
      </c>
      <c r="AE259" s="10"/>
      <c r="AF259" s="10"/>
      <c r="AG259" s="10"/>
      <c r="AH259" s="10"/>
      <c r="AI259" s="10">
        <f t="shared" ref="AI259:AI266" si="381">AB259</f>
        <v>500</v>
      </c>
      <c r="AJ259" s="10"/>
    </row>
    <row r="260" spans="1:36" ht="44.45" customHeight="1" x14ac:dyDescent="0.25">
      <c r="A260" s="5">
        <v>2</v>
      </c>
      <c r="B260" s="115" t="s">
        <v>63</v>
      </c>
      <c r="C260" s="73">
        <v>1</v>
      </c>
      <c r="D260" s="73">
        <v>18</v>
      </c>
      <c r="E260" s="73">
        <v>21</v>
      </c>
      <c r="F260" s="73"/>
      <c r="G260" s="73">
        <f>H260+I260+J260+K260</f>
        <v>29409</v>
      </c>
      <c r="H260" s="73"/>
      <c r="I260" s="73"/>
      <c r="J260" s="73">
        <v>4020</v>
      </c>
      <c r="K260" s="73">
        <v>25389</v>
      </c>
      <c r="L260" s="7">
        <v>2024</v>
      </c>
      <c r="M260" s="73">
        <v>1</v>
      </c>
      <c r="N260" s="75">
        <v>18</v>
      </c>
      <c r="O260" s="75">
        <v>21</v>
      </c>
      <c r="P260" s="8"/>
      <c r="Q260" s="75"/>
      <c r="R260" s="37">
        <f>S260+T260</f>
        <v>39300</v>
      </c>
      <c r="S260" s="73">
        <v>32814</v>
      </c>
      <c r="T260" s="73">
        <v>6486</v>
      </c>
      <c r="U260" s="7">
        <v>2024</v>
      </c>
      <c r="V260" s="19">
        <v>1</v>
      </c>
      <c r="W260" s="10">
        <f t="shared" si="358"/>
        <v>39300</v>
      </c>
      <c r="X260" s="73">
        <v>32814</v>
      </c>
      <c r="Y260" s="73">
        <v>6486</v>
      </c>
      <c r="Z260" s="73"/>
      <c r="AA260" s="10">
        <f>AB260+AC260</f>
        <v>600</v>
      </c>
      <c r="AB260" s="29">
        <v>600</v>
      </c>
      <c r="AC260" s="29"/>
      <c r="AD260" s="10">
        <f t="shared" si="359"/>
        <v>600</v>
      </c>
      <c r="AE260" s="10"/>
      <c r="AF260" s="10"/>
      <c r="AG260" s="10"/>
      <c r="AH260" s="10"/>
      <c r="AI260" s="10">
        <f t="shared" si="381"/>
        <v>600</v>
      </c>
      <c r="AJ260" s="10"/>
    </row>
    <row r="261" spans="1:36" ht="45" customHeight="1" x14ac:dyDescent="0.25">
      <c r="A261" s="5">
        <v>3</v>
      </c>
      <c r="B261" s="5" t="s">
        <v>62</v>
      </c>
      <c r="C261" s="9">
        <v>1</v>
      </c>
      <c r="D261" s="9">
        <v>3</v>
      </c>
      <c r="E261" s="9">
        <v>13</v>
      </c>
      <c r="F261" s="9"/>
      <c r="G261" s="9">
        <f>H261+I261+J261+K261</f>
        <v>10389</v>
      </c>
      <c r="H261" s="9"/>
      <c r="I261" s="9"/>
      <c r="J261" s="9"/>
      <c r="K261" s="9">
        <v>10389</v>
      </c>
      <c r="L261" s="7">
        <v>2024</v>
      </c>
      <c r="M261" s="9">
        <v>1</v>
      </c>
      <c r="N261" s="75">
        <v>1</v>
      </c>
      <c r="O261" s="75">
        <v>17</v>
      </c>
      <c r="P261" s="8"/>
      <c r="Q261" s="8"/>
      <c r="R261" s="37">
        <f>S261+T261</f>
        <v>14936</v>
      </c>
      <c r="S261" s="73">
        <v>12476</v>
      </c>
      <c r="T261" s="73">
        <v>2460</v>
      </c>
      <c r="U261" s="7">
        <v>2025</v>
      </c>
      <c r="V261" s="7">
        <v>1</v>
      </c>
      <c r="W261" s="10">
        <f t="shared" si="358"/>
        <v>14936</v>
      </c>
      <c r="X261" s="73">
        <v>12476</v>
      </c>
      <c r="Y261" s="73">
        <v>2460</v>
      </c>
      <c r="Z261" s="9"/>
      <c r="AA261" s="10">
        <f>AB261+AC261</f>
        <v>300</v>
      </c>
      <c r="AB261" s="29">
        <v>300</v>
      </c>
      <c r="AC261" s="29"/>
      <c r="AD261" s="10">
        <f t="shared" si="359"/>
        <v>300</v>
      </c>
      <c r="AE261" s="10"/>
      <c r="AF261" s="10"/>
      <c r="AG261" s="10"/>
      <c r="AH261" s="10"/>
      <c r="AI261" s="10">
        <f t="shared" si="381"/>
        <v>300</v>
      </c>
      <c r="AJ261" s="10"/>
    </row>
    <row r="262" spans="1:36" ht="52.15" customHeight="1" x14ac:dyDescent="0.25">
      <c r="A262" s="5">
        <v>4</v>
      </c>
      <c r="B262" s="5" t="s">
        <v>61</v>
      </c>
      <c r="C262" s="9">
        <v>1</v>
      </c>
      <c r="D262" s="9">
        <v>1</v>
      </c>
      <c r="E262" s="9">
        <v>24</v>
      </c>
      <c r="F262" s="9"/>
      <c r="G262" s="9">
        <v>15635</v>
      </c>
      <c r="H262" s="9"/>
      <c r="I262" s="9"/>
      <c r="J262" s="9"/>
      <c r="K262" s="9">
        <v>15635</v>
      </c>
      <c r="L262" s="7">
        <v>2024</v>
      </c>
      <c r="M262" s="9">
        <v>1</v>
      </c>
      <c r="N262" s="5">
        <v>16</v>
      </c>
      <c r="O262" s="5">
        <v>24</v>
      </c>
      <c r="P262" s="8"/>
      <c r="Q262" s="8"/>
      <c r="R262" s="37">
        <f>S262+T262</f>
        <v>44986</v>
      </c>
      <c r="S262" s="73">
        <v>39577</v>
      </c>
      <c r="T262" s="73">
        <v>5409</v>
      </c>
      <c r="U262" s="7">
        <v>2025</v>
      </c>
      <c r="V262" s="7">
        <v>2</v>
      </c>
      <c r="W262" s="10">
        <f t="shared" si="358"/>
        <v>44986</v>
      </c>
      <c r="X262" s="73">
        <v>39577</v>
      </c>
      <c r="Y262" s="73">
        <v>5409</v>
      </c>
      <c r="Z262" s="9"/>
      <c r="AA262" s="10">
        <f>AB262+AC262</f>
        <v>500</v>
      </c>
      <c r="AB262" s="29">
        <v>500</v>
      </c>
      <c r="AC262" s="29"/>
      <c r="AD262" s="10">
        <f t="shared" si="359"/>
        <v>500</v>
      </c>
      <c r="AE262" s="10"/>
      <c r="AF262" s="10"/>
      <c r="AG262" s="10"/>
      <c r="AH262" s="10"/>
      <c r="AI262" s="10">
        <f t="shared" si="381"/>
        <v>500</v>
      </c>
      <c r="AJ262" s="10"/>
    </row>
    <row r="263" spans="1:36" ht="57.6" customHeight="1" x14ac:dyDescent="0.25">
      <c r="A263" s="5">
        <v>5</v>
      </c>
      <c r="B263" s="5" t="s">
        <v>59</v>
      </c>
      <c r="C263" s="9">
        <v>1</v>
      </c>
      <c r="D263" s="9">
        <v>18</v>
      </c>
      <c r="E263" s="9">
        <v>26</v>
      </c>
      <c r="F263" s="9"/>
      <c r="G263" s="9">
        <f>H263+I263+J263+K263</f>
        <v>28641</v>
      </c>
      <c r="H263" s="9">
        <v>28641</v>
      </c>
      <c r="I263" s="9"/>
      <c r="J263" s="9"/>
      <c r="K263" s="9"/>
      <c r="L263" s="7">
        <v>2023</v>
      </c>
      <c r="M263" s="9">
        <v>1</v>
      </c>
      <c r="N263" s="5">
        <v>18</v>
      </c>
      <c r="O263" s="5">
        <v>26</v>
      </c>
      <c r="P263" s="8"/>
      <c r="Q263" s="8"/>
      <c r="R263" s="37">
        <f t="shared" ref="R263" si="382">S263+T263</f>
        <v>37543</v>
      </c>
      <c r="S263" s="37">
        <v>37419</v>
      </c>
      <c r="T263" s="37">
        <v>124</v>
      </c>
      <c r="U263" s="7">
        <v>2025</v>
      </c>
      <c r="V263" s="7">
        <v>2</v>
      </c>
      <c r="W263" s="10">
        <f t="shared" si="358"/>
        <v>37543</v>
      </c>
      <c r="X263" s="73">
        <f>37543-124</f>
        <v>37419</v>
      </c>
      <c r="Y263" s="73">
        <v>124</v>
      </c>
      <c r="Z263" s="9"/>
      <c r="AA263" s="10">
        <f t="shared" ref="AA263" si="383">AB263+AC263</f>
        <v>500</v>
      </c>
      <c r="AB263" s="10">
        <v>500</v>
      </c>
      <c r="AC263" s="10"/>
      <c r="AD263" s="10">
        <f t="shared" si="359"/>
        <v>500</v>
      </c>
      <c r="AE263" s="10"/>
      <c r="AF263" s="10"/>
      <c r="AG263" s="10"/>
      <c r="AH263" s="10"/>
      <c r="AI263" s="10">
        <f t="shared" si="381"/>
        <v>500</v>
      </c>
      <c r="AJ263" s="10"/>
    </row>
    <row r="264" spans="1:36" ht="46.15" customHeight="1" x14ac:dyDescent="0.25">
      <c r="A264" s="5"/>
      <c r="B264" s="47" t="s">
        <v>64</v>
      </c>
      <c r="C264" s="33">
        <f>C265+C266</f>
        <v>2</v>
      </c>
      <c r="D264" s="33">
        <f t="shared" ref="D264:AJ264" si="384">D265+D266</f>
        <v>0</v>
      </c>
      <c r="E264" s="33">
        <f t="shared" si="384"/>
        <v>48</v>
      </c>
      <c r="F264" s="33">
        <f t="shared" si="384"/>
        <v>0</v>
      </c>
      <c r="G264" s="33">
        <f t="shared" si="384"/>
        <v>38603</v>
      </c>
      <c r="H264" s="33">
        <f t="shared" si="384"/>
        <v>38603</v>
      </c>
      <c r="I264" s="33">
        <f t="shared" si="384"/>
        <v>0</v>
      </c>
      <c r="J264" s="33">
        <f t="shared" si="384"/>
        <v>0</v>
      </c>
      <c r="K264" s="33">
        <f t="shared" si="384"/>
        <v>0</v>
      </c>
      <c r="L264" s="33"/>
      <c r="M264" s="33">
        <f t="shared" si="384"/>
        <v>2</v>
      </c>
      <c r="N264" s="33">
        <f t="shared" si="384"/>
        <v>0</v>
      </c>
      <c r="O264" s="33">
        <f t="shared" si="384"/>
        <v>53</v>
      </c>
      <c r="P264" s="33"/>
      <c r="Q264" s="33">
        <f t="shared" si="384"/>
        <v>0</v>
      </c>
      <c r="R264" s="33">
        <f t="shared" si="384"/>
        <v>53619</v>
      </c>
      <c r="S264" s="33">
        <f t="shared" si="384"/>
        <v>43081</v>
      </c>
      <c r="T264" s="33">
        <f t="shared" si="384"/>
        <v>10538</v>
      </c>
      <c r="U264" s="33"/>
      <c r="V264" s="33"/>
      <c r="W264" s="33">
        <f t="shared" si="384"/>
        <v>53619</v>
      </c>
      <c r="X264" s="33">
        <f t="shared" si="384"/>
        <v>43081</v>
      </c>
      <c r="Y264" s="33">
        <f t="shared" si="384"/>
        <v>10538</v>
      </c>
      <c r="Z264" s="33">
        <f t="shared" si="384"/>
        <v>0</v>
      </c>
      <c r="AA264" s="33">
        <f t="shared" si="384"/>
        <v>1000</v>
      </c>
      <c r="AB264" s="33">
        <f t="shared" si="384"/>
        <v>1000</v>
      </c>
      <c r="AC264" s="33">
        <f t="shared" si="384"/>
        <v>0</v>
      </c>
      <c r="AD264" s="33">
        <f t="shared" si="384"/>
        <v>1000</v>
      </c>
      <c r="AE264" s="33">
        <f t="shared" si="384"/>
        <v>0</v>
      </c>
      <c r="AF264" s="33">
        <f t="shared" si="384"/>
        <v>0</v>
      </c>
      <c r="AG264" s="33">
        <f t="shared" si="384"/>
        <v>0</v>
      </c>
      <c r="AH264" s="33">
        <f t="shared" si="384"/>
        <v>0</v>
      </c>
      <c r="AI264" s="33">
        <f t="shared" si="384"/>
        <v>1000</v>
      </c>
      <c r="AJ264" s="33">
        <f t="shared" si="384"/>
        <v>0</v>
      </c>
    </row>
    <row r="265" spans="1:36" ht="60" customHeight="1" x14ac:dyDescent="0.25">
      <c r="A265" s="5">
        <v>1</v>
      </c>
      <c r="B265" s="5" t="s">
        <v>67</v>
      </c>
      <c r="C265" s="9">
        <v>1</v>
      </c>
      <c r="D265" s="9">
        <v>0</v>
      </c>
      <c r="E265" s="9">
        <v>22</v>
      </c>
      <c r="F265" s="9"/>
      <c r="G265" s="9">
        <f>H265+I265+J265+K265</f>
        <v>17257</v>
      </c>
      <c r="H265" s="9">
        <v>17257</v>
      </c>
      <c r="I265" s="9"/>
      <c r="J265" s="9"/>
      <c r="K265" s="9"/>
      <c r="L265" s="7">
        <v>2021</v>
      </c>
      <c r="M265" s="9">
        <v>1</v>
      </c>
      <c r="N265" s="75">
        <v>0</v>
      </c>
      <c r="O265" s="75">
        <v>23</v>
      </c>
      <c r="P265" s="8"/>
      <c r="Q265" s="8"/>
      <c r="R265" s="37">
        <f>S265+T265</f>
        <v>22099</v>
      </c>
      <c r="S265" s="73">
        <v>17777</v>
      </c>
      <c r="T265" s="73">
        <v>4322</v>
      </c>
      <c r="U265" s="7">
        <v>2024</v>
      </c>
      <c r="V265" s="7">
        <v>1</v>
      </c>
      <c r="W265" s="10">
        <f t="shared" si="358"/>
        <v>22099</v>
      </c>
      <c r="X265" s="73">
        <v>17777</v>
      </c>
      <c r="Y265" s="73">
        <v>4322</v>
      </c>
      <c r="Z265" s="9"/>
      <c r="AA265" s="10">
        <f>AB265+AC265</f>
        <v>500</v>
      </c>
      <c r="AB265" s="29">
        <v>500</v>
      </c>
      <c r="AC265" s="29"/>
      <c r="AD265" s="10">
        <f t="shared" si="359"/>
        <v>500</v>
      </c>
      <c r="AE265" s="10"/>
      <c r="AF265" s="10"/>
      <c r="AG265" s="10"/>
      <c r="AH265" s="10"/>
      <c r="AI265" s="10">
        <f t="shared" si="381"/>
        <v>500</v>
      </c>
      <c r="AJ265" s="10"/>
    </row>
    <row r="266" spans="1:36" ht="61.9" customHeight="1" x14ac:dyDescent="0.25">
      <c r="A266" s="5">
        <v>2</v>
      </c>
      <c r="B266" s="5" t="s">
        <v>65</v>
      </c>
      <c r="C266" s="9">
        <v>1</v>
      </c>
      <c r="D266" s="9">
        <v>0</v>
      </c>
      <c r="E266" s="9">
        <v>26</v>
      </c>
      <c r="F266" s="9"/>
      <c r="G266" s="9">
        <f>H266+I266+J266+K266</f>
        <v>21346</v>
      </c>
      <c r="H266" s="9">
        <v>21346</v>
      </c>
      <c r="I266" s="9"/>
      <c r="J266" s="9"/>
      <c r="K266" s="9"/>
      <c r="L266" s="7">
        <v>2021</v>
      </c>
      <c r="M266" s="9">
        <v>1</v>
      </c>
      <c r="N266" s="5">
        <v>0</v>
      </c>
      <c r="O266" s="5">
        <v>30</v>
      </c>
      <c r="P266" s="8"/>
      <c r="Q266" s="8"/>
      <c r="R266" s="37">
        <f>S266+T266</f>
        <v>31520</v>
      </c>
      <c r="S266" s="37">
        <v>25304</v>
      </c>
      <c r="T266" s="37">
        <v>6216</v>
      </c>
      <c r="U266" s="7">
        <v>2024</v>
      </c>
      <c r="V266" s="7">
        <v>2</v>
      </c>
      <c r="W266" s="10">
        <f t="shared" si="358"/>
        <v>31520</v>
      </c>
      <c r="X266" s="73">
        <v>25304</v>
      </c>
      <c r="Y266" s="73">
        <v>6216</v>
      </c>
      <c r="Z266" s="9"/>
      <c r="AA266" s="10">
        <f>AB266+AC266</f>
        <v>500</v>
      </c>
      <c r="AB266" s="29">
        <v>500</v>
      </c>
      <c r="AC266" s="29"/>
      <c r="AD266" s="10">
        <f t="shared" si="359"/>
        <v>500</v>
      </c>
      <c r="AE266" s="10"/>
      <c r="AF266" s="10"/>
      <c r="AG266" s="10"/>
      <c r="AH266" s="10"/>
      <c r="AI266" s="10">
        <f t="shared" si="381"/>
        <v>500</v>
      </c>
      <c r="AJ266" s="10"/>
    </row>
    <row r="267" spans="1:36" ht="41.45" customHeight="1" x14ac:dyDescent="0.25">
      <c r="A267" s="11" t="s">
        <v>27</v>
      </c>
      <c r="B267" s="47" t="s">
        <v>268</v>
      </c>
      <c r="C267" s="49">
        <f>C268</f>
        <v>1</v>
      </c>
      <c r="D267" s="49">
        <f t="shared" ref="D267:AC267" si="385">D268</f>
        <v>14</v>
      </c>
      <c r="E267" s="49">
        <f t="shared" si="385"/>
        <v>22</v>
      </c>
      <c r="F267" s="49">
        <f t="shared" si="385"/>
        <v>0</v>
      </c>
      <c r="G267" s="49">
        <f t="shared" si="385"/>
        <v>22767</v>
      </c>
      <c r="H267" s="49">
        <f t="shared" si="385"/>
        <v>0</v>
      </c>
      <c r="I267" s="49">
        <f t="shared" si="385"/>
        <v>0</v>
      </c>
      <c r="J267" s="49">
        <f t="shared" si="385"/>
        <v>0</v>
      </c>
      <c r="K267" s="49">
        <f t="shared" si="385"/>
        <v>22767</v>
      </c>
      <c r="L267" s="49">
        <f t="shared" si="385"/>
        <v>0</v>
      </c>
      <c r="M267" s="49">
        <f t="shared" si="385"/>
        <v>1</v>
      </c>
      <c r="N267" s="49">
        <f t="shared" si="385"/>
        <v>14</v>
      </c>
      <c r="O267" s="49">
        <f t="shared" si="385"/>
        <v>22</v>
      </c>
      <c r="P267" s="49">
        <f t="shared" si="385"/>
        <v>0</v>
      </c>
      <c r="Q267" s="49">
        <f t="shared" si="385"/>
        <v>0</v>
      </c>
      <c r="R267" s="49">
        <f t="shared" si="385"/>
        <v>52543</v>
      </c>
      <c r="S267" s="49">
        <f t="shared" si="385"/>
        <v>47543</v>
      </c>
      <c r="T267" s="49">
        <f t="shared" si="385"/>
        <v>5000</v>
      </c>
      <c r="U267" s="49">
        <f t="shared" si="385"/>
        <v>0</v>
      </c>
      <c r="V267" s="49">
        <f t="shared" si="385"/>
        <v>0</v>
      </c>
      <c r="W267" s="49">
        <f t="shared" si="385"/>
        <v>52543</v>
      </c>
      <c r="X267" s="49">
        <f t="shared" si="385"/>
        <v>47543</v>
      </c>
      <c r="Y267" s="49">
        <f t="shared" si="385"/>
        <v>5000</v>
      </c>
      <c r="Z267" s="49">
        <f t="shared" si="385"/>
        <v>0</v>
      </c>
      <c r="AA267" s="49">
        <f t="shared" si="385"/>
        <v>600</v>
      </c>
      <c r="AB267" s="49">
        <f t="shared" si="385"/>
        <v>600</v>
      </c>
      <c r="AC267" s="49">
        <f t="shared" si="385"/>
        <v>0</v>
      </c>
      <c r="AD267" s="49" t="e">
        <f>#REF!+AD268</f>
        <v>#REF!</v>
      </c>
      <c r="AE267" s="49" t="e">
        <f>#REF!+AE268</f>
        <v>#REF!</v>
      </c>
      <c r="AF267" s="49" t="e">
        <f>#REF!+AF268</f>
        <v>#REF!</v>
      </c>
      <c r="AG267" s="49" t="e">
        <f>#REF!+AG268</f>
        <v>#REF!</v>
      </c>
      <c r="AH267" s="49" t="e">
        <f>#REF!+AH268</f>
        <v>#REF!</v>
      </c>
      <c r="AI267" s="49" t="e">
        <f>#REF!+AI268</f>
        <v>#REF!</v>
      </c>
      <c r="AJ267" s="49" t="e">
        <f>#REF!+AJ268</f>
        <v>#REF!</v>
      </c>
    </row>
    <row r="268" spans="1:36" ht="33.6" customHeight="1" x14ac:dyDescent="0.25">
      <c r="A268" s="6"/>
      <c r="B268" s="47" t="s">
        <v>37</v>
      </c>
      <c r="C268" s="56">
        <f>C269</f>
        <v>1</v>
      </c>
      <c r="D268" s="56">
        <f t="shared" ref="D268:AJ268" si="386">D269</f>
        <v>14</v>
      </c>
      <c r="E268" s="56">
        <f t="shared" si="386"/>
        <v>22</v>
      </c>
      <c r="F268" s="56">
        <f t="shared" si="386"/>
        <v>0</v>
      </c>
      <c r="G268" s="56">
        <f t="shared" si="386"/>
        <v>22767</v>
      </c>
      <c r="H268" s="56">
        <f t="shared" si="386"/>
        <v>0</v>
      </c>
      <c r="I268" s="56">
        <f t="shared" si="386"/>
        <v>0</v>
      </c>
      <c r="J268" s="56">
        <f t="shared" si="386"/>
        <v>0</v>
      </c>
      <c r="K268" s="56">
        <f t="shared" si="386"/>
        <v>22767</v>
      </c>
      <c r="L268" s="56"/>
      <c r="M268" s="56">
        <f t="shared" si="386"/>
        <v>1</v>
      </c>
      <c r="N268" s="56">
        <f t="shared" si="386"/>
        <v>14</v>
      </c>
      <c r="O268" s="56">
        <f t="shared" si="386"/>
        <v>22</v>
      </c>
      <c r="P268" s="56"/>
      <c r="Q268" s="56">
        <f t="shared" si="386"/>
        <v>0</v>
      </c>
      <c r="R268" s="56">
        <f t="shared" si="386"/>
        <v>52543</v>
      </c>
      <c r="S268" s="56">
        <f t="shared" si="386"/>
        <v>47543</v>
      </c>
      <c r="T268" s="56">
        <f t="shared" si="386"/>
        <v>5000</v>
      </c>
      <c r="U268" s="56"/>
      <c r="V268" s="56"/>
      <c r="W268" s="56">
        <f t="shared" si="386"/>
        <v>52543</v>
      </c>
      <c r="X268" s="56">
        <f t="shared" si="386"/>
        <v>47543</v>
      </c>
      <c r="Y268" s="56">
        <f t="shared" si="386"/>
        <v>5000</v>
      </c>
      <c r="Z268" s="56">
        <f t="shared" si="386"/>
        <v>0</v>
      </c>
      <c r="AA268" s="56">
        <f t="shared" si="386"/>
        <v>600</v>
      </c>
      <c r="AB268" s="56">
        <f t="shared" si="386"/>
        <v>600</v>
      </c>
      <c r="AC268" s="56">
        <f t="shared" si="386"/>
        <v>0</v>
      </c>
      <c r="AD268" s="56">
        <f t="shared" si="386"/>
        <v>600</v>
      </c>
      <c r="AE268" s="56">
        <f t="shared" si="386"/>
        <v>0</v>
      </c>
      <c r="AF268" s="56">
        <f t="shared" si="386"/>
        <v>0</v>
      </c>
      <c r="AG268" s="56">
        <f t="shared" si="386"/>
        <v>0</v>
      </c>
      <c r="AH268" s="56">
        <f t="shared" si="386"/>
        <v>0</v>
      </c>
      <c r="AI268" s="56">
        <f t="shared" si="386"/>
        <v>600</v>
      </c>
      <c r="AJ268" s="56">
        <f t="shared" si="386"/>
        <v>0</v>
      </c>
    </row>
    <row r="269" spans="1:36" ht="93.6" customHeight="1" x14ac:dyDescent="0.25">
      <c r="A269" s="22">
        <v>1</v>
      </c>
      <c r="B269" s="26" t="s">
        <v>269</v>
      </c>
      <c r="C269" s="18">
        <v>1</v>
      </c>
      <c r="D269" s="18">
        <v>14</v>
      </c>
      <c r="E269" s="18">
        <v>22</v>
      </c>
      <c r="F269" s="18"/>
      <c r="G269" s="9">
        <f>H269+I269+J269+K269</f>
        <v>22767</v>
      </c>
      <c r="H269" s="18"/>
      <c r="I269" s="18">
        <v>0</v>
      </c>
      <c r="J269" s="18">
        <v>0</v>
      </c>
      <c r="K269" s="18">
        <v>22767</v>
      </c>
      <c r="L269" s="18">
        <v>2024</v>
      </c>
      <c r="M269" s="18">
        <v>1</v>
      </c>
      <c r="N269" s="22">
        <v>14</v>
      </c>
      <c r="O269" s="22">
        <v>22</v>
      </c>
      <c r="P269" s="58"/>
      <c r="Q269" s="76"/>
      <c r="R269" s="37">
        <f>S269+T269</f>
        <v>52543</v>
      </c>
      <c r="S269" s="73">
        <v>47543</v>
      </c>
      <c r="T269" s="74">
        <v>5000</v>
      </c>
      <c r="U269" s="6">
        <v>2024</v>
      </c>
      <c r="V269" s="6">
        <v>2</v>
      </c>
      <c r="W269" s="10">
        <f t="shared" ref="W269" si="387">X269+Y269+Z269</f>
        <v>52543</v>
      </c>
      <c r="X269" s="73">
        <v>47543</v>
      </c>
      <c r="Y269" s="74">
        <v>5000</v>
      </c>
      <c r="Z269" s="18"/>
      <c r="AA269" s="18">
        <f>AB269+AC269</f>
        <v>600</v>
      </c>
      <c r="AB269" s="18">
        <v>600</v>
      </c>
      <c r="AC269" s="18"/>
      <c r="AD269" s="10">
        <f t="shared" ref="AD269" si="388">AE269+AF269+AG269+AH269+AI269+AJ269</f>
        <v>600</v>
      </c>
      <c r="AE269" s="29"/>
      <c r="AF269" s="29"/>
      <c r="AG269" s="29"/>
      <c r="AH269" s="29"/>
      <c r="AI269" s="10">
        <f t="shared" ref="AI269" si="389">AB269</f>
        <v>600</v>
      </c>
      <c r="AJ269" s="29"/>
    </row>
    <row r="270" spans="1:36" ht="37.15" customHeight="1" x14ac:dyDescent="0.25">
      <c r="A270" s="11" t="s">
        <v>49</v>
      </c>
      <c r="B270" s="47" t="s">
        <v>83</v>
      </c>
      <c r="C270" s="61">
        <f>C271</f>
        <v>3</v>
      </c>
      <c r="D270" s="61">
        <f t="shared" ref="D270:AJ270" si="390">D271</f>
        <v>25</v>
      </c>
      <c r="E270" s="61">
        <f t="shared" si="390"/>
        <v>39</v>
      </c>
      <c r="F270" s="61">
        <f t="shared" si="390"/>
        <v>0</v>
      </c>
      <c r="G270" s="61">
        <f t="shared" si="390"/>
        <v>44570</v>
      </c>
      <c r="H270" s="61">
        <f t="shared" si="390"/>
        <v>14831</v>
      </c>
      <c r="I270" s="61">
        <f t="shared" si="390"/>
        <v>0</v>
      </c>
      <c r="J270" s="61">
        <f t="shared" si="390"/>
        <v>2400</v>
      </c>
      <c r="K270" s="61">
        <f t="shared" si="390"/>
        <v>27339</v>
      </c>
      <c r="L270" s="61">
        <f t="shared" si="390"/>
        <v>0</v>
      </c>
      <c r="M270" s="61">
        <f t="shared" si="390"/>
        <v>3</v>
      </c>
      <c r="N270" s="61">
        <f t="shared" si="390"/>
        <v>28</v>
      </c>
      <c r="O270" s="61">
        <f t="shared" si="390"/>
        <v>39</v>
      </c>
      <c r="P270" s="61"/>
      <c r="Q270" s="61">
        <f t="shared" si="390"/>
        <v>0</v>
      </c>
      <c r="R270" s="61">
        <f t="shared" si="390"/>
        <v>67291</v>
      </c>
      <c r="S270" s="61">
        <f t="shared" si="390"/>
        <v>42171</v>
      </c>
      <c r="T270" s="61">
        <f t="shared" si="390"/>
        <v>25120</v>
      </c>
      <c r="U270" s="61">
        <f t="shared" si="390"/>
        <v>0</v>
      </c>
      <c r="V270" s="61">
        <f t="shared" si="390"/>
        <v>0</v>
      </c>
      <c r="W270" s="61">
        <f t="shared" si="390"/>
        <v>67276</v>
      </c>
      <c r="X270" s="61">
        <f t="shared" si="390"/>
        <v>42157</v>
      </c>
      <c r="Y270" s="61">
        <f t="shared" si="390"/>
        <v>25119</v>
      </c>
      <c r="Z270" s="61">
        <f t="shared" si="390"/>
        <v>0</v>
      </c>
      <c r="AA270" s="61">
        <f t="shared" si="390"/>
        <v>1000</v>
      </c>
      <c r="AB270" s="61">
        <f t="shared" si="390"/>
        <v>1000</v>
      </c>
      <c r="AC270" s="61">
        <f t="shared" si="390"/>
        <v>0</v>
      </c>
      <c r="AD270" s="61">
        <f t="shared" si="390"/>
        <v>1000</v>
      </c>
      <c r="AE270" s="61">
        <f t="shared" si="390"/>
        <v>0</v>
      </c>
      <c r="AF270" s="61">
        <f t="shared" si="390"/>
        <v>0</v>
      </c>
      <c r="AG270" s="61">
        <f t="shared" si="390"/>
        <v>0</v>
      </c>
      <c r="AH270" s="61">
        <f t="shared" si="390"/>
        <v>0</v>
      </c>
      <c r="AI270" s="61">
        <f t="shared" si="390"/>
        <v>1000</v>
      </c>
      <c r="AJ270" s="61">
        <f t="shared" si="390"/>
        <v>0</v>
      </c>
    </row>
    <row r="271" spans="1:36" ht="27.6" customHeight="1" x14ac:dyDescent="0.25">
      <c r="A271" s="5"/>
      <c r="B271" s="47" t="s">
        <v>37</v>
      </c>
      <c r="C271" s="61">
        <f>SUM(C272:C274)</f>
        <v>3</v>
      </c>
      <c r="D271" s="61">
        <f t="shared" ref="D271:F271" si="391">SUM(D272:D274)</f>
        <v>25</v>
      </c>
      <c r="E271" s="61">
        <f t="shared" si="391"/>
        <v>39</v>
      </c>
      <c r="F271" s="61">
        <f t="shared" si="391"/>
        <v>0</v>
      </c>
      <c r="G271" s="61">
        <f t="shared" ref="G271" si="392">SUM(G272:G274)</f>
        <v>44570</v>
      </c>
      <c r="H271" s="61">
        <f t="shared" ref="H271" si="393">SUM(H272:H274)</f>
        <v>14831</v>
      </c>
      <c r="I271" s="61">
        <f t="shared" ref="I271" si="394">SUM(I272:I274)</f>
        <v>0</v>
      </c>
      <c r="J271" s="61">
        <f t="shared" ref="J271" si="395">SUM(J272:J274)</f>
        <v>2400</v>
      </c>
      <c r="K271" s="61">
        <f t="shared" ref="K271" si="396">SUM(K272:K274)</f>
        <v>27339</v>
      </c>
      <c r="L271" s="61"/>
      <c r="M271" s="61">
        <f t="shared" ref="M271" si="397">SUM(M272:M274)</f>
        <v>3</v>
      </c>
      <c r="N271" s="61">
        <f t="shared" ref="N271" si="398">SUM(N272:N274)</f>
        <v>28</v>
      </c>
      <c r="O271" s="61">
        <f t="shared" ref="O271" si="399">SUM(O272:O274)</f>
        <v>39</v>
      </c>
      <c r="P271" s="61"/>
      <c r="Q271" s="61">
        <f t="shared" ref="Q271" si="400">Q272+Q273</f>
        <v>0</v>
      </c>
      <c r="R271" s="61">
        <f t="shared" ref="R271" si="401">SUM(R272:R274)</f>
        <v>67291</v>
      </c>
      <c r="S271" s="61">
        <f t="shared" ref="S271" si="402">SUM(S272:S274)</f>
        <v>42171</v>
      </c>
      <c r="T271" s="61">
        <f t="shared" ref="T271" si="403">SUM(T272:T274)</f>
        <v>25120</v>
      </c>
      <c r="U271" s="61"/>
      <c r="V271" s="61"/>
      <c r="W271" s="61">
        <f t="shared" ref="W271" si="404">SUM(W272:W274)</f>
        <v>67276</v>
      </c>
      <c r="X271" s="61">
        <f t="shared" ref="X271" si="405">SUM(X272:X274)</f>
        <v>42157</v>
      </c>
      <c r="Y271" s="61">
        <f t="shared" ref="Y271" si="406">SUM(Y272:Y274)</f>
        <v>25119</v>
      </c>
      <c r="Z271" s="61">
        <f t="shared" ref="Z271" si="407">SUM(Z272:Z274)</f>
        <v>0</v>
      </c>
      <c r="AA271" s="61">
        <f t="shared" ref="AA271" si="408">SUM(AA272:AA274)</f>
        <v>1000</v>
      </c>
      <c r="AB271" s="61">
        <f t="shared" ref="AB271" si="409">SUM(AB272:AB274)</f>
        <v>1000</v>
      </c>
      <c r="AC271" s="61">
        <f t="shared" ref="AC271" si="410">SUM(AC272:AC274)</f>
        <v>0</v>
      </c>
      <c r="AD271" s="61">
        <f t="shared" ref="AD271" si="411">SUM(AD272:AD274)</f>
        <v>1000</v>
      </c>
      <c r="AE271" s="61">
        <f t="shared" ref="AE271" si="412">SUM(AE272:AE274)</f>
        <v>0</v>
      </c>
      <c r="AF271" s="61">
        <f t="shared" ref="AF271" si="413">SUM(AF272:AF274)</f>
        <v>0</v>
      </c>
      <c r="AG271" s="61">
        <f t="shared" ref="AG271" si="414">SUM(AG272:AG274)</f>
        <v>0</v>
      </c>
      <c r="AH271" s="61">
        <f t="shared" ref="AH271" si="415">SUM(AH272:AH274)</f>
        <v>0</v>
      </c>
      <c r="AI271" s="61">
        <f t="shared" ref="AI271" si="416">SUM(AI272:AI274)</f>
        <v>1000</v>
      </c>
      <c r="AJ271" s="61">
        <f t="shared" ref="AJ271" si="417">SUM(AJ272:AJ274)</f>
        <v>0</v>
      </c>
    </row>
    <row r="272" spans="1:36" ht="39" customHeight="1" x14ac:dyDescent="0.25">
      <c r="A272" s="5">
        <v>1</v>
      </c>
      <c r="B272" s="26" t="s">
        <v>87</v>
      </c>
      <c r="C272" s="18">
        <v>1</v>
      </c>
      <c r="D272" s="18">
        <v>12</v>
      </c>
      <c r="E272" s="18">
        <v>10</v>
      </c>
      <c r="F272" s="18"/>
      <c r="G272" s="9">
        <f>H272+I272+J272+K272</f>
        <v>16331</v>
      </c>
      <c r="H272" s="18">
        <v>14831</v>
      </c>
      <c r="I272" s="18"/>
      <c r="J272" s="18">
        <v>1500</v>
      </c>
      <c r="K272" s="18"/>
      <c r="L272" s="6">
        <v>2023</v>
      </c>
      <c r="M272" s="18">
        <v>1</v>
      </c>
      <c r="N272" s="22">
        <v>12</v>
      </c>
      <c r="O272" s="22">
        <v>10</v>
      </c>
      <c r="P272" s="13"/>
      <c r="Q272" s="13"/>
      <c r="R272" s="37">
        <f>S272+T272</f>
        <v>24969</v>
      </c>
      <c r="S272" s="30">
        <v>14832</v>
      </c>
      <c r="T272" s="30">
        <v>10137</v>
      </c>
      <c r="U272" s="6">
        <v>2024</v>
      </c>
      <c r="V272" s="6">
        <v>1</v>
      </c>
      <c r="W272" s="10">
        <f t="shared" ref="W272:W273" si="418">X272+Y272+Z272</f>
        <v>24968</v>
      </c>
      <c r="X272" s="18">
        <v>14831</v>
      </c>
      <c r="Y272" s="18">
        <v>10137</v>
      </c>
      <c r="Z272" s="18"/>
      <c r="AA272" s="10">
        <f>AB272+AC272</f>
        <v>400</v>
      </c>
      <c r="AB272" s="10">
        <v>400</v>
      </c>
      <c r="AC272" s="10"/>
      <c r="AD272" s="10">
        <f t="shared" ref="AD272:AD273" si="419">AE272+AF272+AG272+AH272+AI272+AJ272</f>
        <v>400</v>
      </c>
      <c r="AE272" s="64"/>
      <c r="AF272" s="64"/>
      <c r="AG272" s="18"/>
      <c r="AH272" s="18"/>
      <c r="AI272" s="10">
        <f t="shared" ref="AI272:AI273" si="420">AB272</f>
        <v>400</v>
      </c>
      <c r="AJ272" s="18"/>
    </row>
    <row r="273" spans="1:36" ht="69.599999999999994" customHeight="1" x14ac:dyDescent="0.25">
      <c r="A273" s="5">
        <v>2</v>
      </c>
      <c r="B273" s="26" t="s">
        <v>97</v>
      </c>
      <c r="C273" s="18">
        <v>1</v>
      </c>
      <c r="D273" s="18">
        <v>3</v>
      </c>
      <c r="E273" s="18">
        <v>10</v>
      </c>
      <c r="F273" s="18"/>
      <c r="G273" s="9">
        <f>H273+I273+J273+K273</f>
        <v>7926</v>
      </c>
      <c r="H273" s="18"/>
      <c r="I273" s="18"/>
      <c r="J273" s="18">
        <v>0</v>
      </c>
      <c r="K273" s="18">
        <v>7926</v>
      </c>
      <c r="L273" s="6">
        <v>2024</v>
      </c>
      <c r="M273" s="18">
        <v>1</v>
      </c>
      <c r="N273" s="22">
        <v>6</v>
      </c>
      <c r="O273" s="22">
        <v>12</v>
      </c>
      <c r="P273" s="13"/>
      <c r="Q273" s="13"/>
      <c r="R273" s="37">
        <f>S273+T273</f>
        <v>14363</v>
      </c>
      <c r="S273" s="30">
        <v>7926</v>
      </c>
      <c r="T273" s="30">
        <v>6437</v>
      </c>
      <c r="U273" s="6">
        <v>2024</v>
      </c>
      <c r="V273" s="6">
        <v>2</v>
      </c>
      <c r="W273" s="10">
        <f t="shared" si="418"/>
        <v>14363</v>
      </c>
      <c r="X273" s="18">
        <v>7926</v>
      </c>
      <c r="Y273" s="18">
        <v>6437</v>
      </c>
      <c r="Z273" s="18"/>
      <c r="AA273" s="10">
        <f>AB273+AC273</f>
        <v>300</v>
      </c>
      <c r="AB273" s="10">
        <v>300</v>
      </c>
      <c r="AC273" s="10"/>
      <c r="AD273" s="10">
        <f t="shared" si="419"/>
        <v>300</v>
      </c>
      <c r="AE273" s="64"/>
      <c r="AF273" s="64"/>
      <c r="AG273" s="18"/>
      <c r="AH273" s="18"/>
      <c r="AI273" s="10">
        <f t="shared" si="420"/>
        <v>300</v>
      </c>
      <c r="AJ273" s="18"/>
    </row>
    <row r="274" spans="1:36" ht="51" customHeight="1" x14ac:dyDescent="0.25">
      <c r="A274" s="5">
        <v>3</v>
      </c>
      <c r="B274" s="26" t="s">
        <v>88</v>
      </c>
      <c r="C274" s="18">
        <v>1</v>
      </c>
      <c r="D274" s="18">
        <v>10</v>
      </c>
      <c r="E274" s="18">
        <v>19</v>
      </c>
      <c r="F274" s="18"/>
      <c r="G274" s="9">
        <f>H274+I274+J274+K274</f>
        <v>20313</v>
      </c>
      <c r="H274" s="18"/>
      <c r="I274" s="18"/>
      <c r="J274" s="18">
        <v>900</v>
      </c>
      <c r="K274" s="18">
        <v>19413</v>
      </c>
      <c r="L274" s="6">
        <v>2023</v>
      </c>
      <c r="M274" s="18">
        <v>1</v>
      </c>
      <c r="N274" s="22">
        <v>10</v>
      </c>
      <c r="O274" s="22">
        <v>17</v>
      </c>
      <c r="P274" s="13"/>
      <c r="Q274" s="13"/>
      <c r="R274" s="37">
        <f>S274+T274</f>
        <v>27959</v>
      </c>
      <c r="S274" s="30">
        <v>19413</v>
      </c>
      <c r="T274" s="30">
        <v>8546</v>
      </c>
      <c r="U274" s="6">
        <v>2024</v>
      </c>
      <c r="V274" s="6">
        <v>1</v>
      </c>
      <c r="W274" s="10">
        <f>X274+Y274+Z274</f>
        <v>27945</v>
      </c>
      <c r="X274" s="18">
        <v>19400</v>
      </c>
      <c r="Y274" s="18">
        <v>8545</v>
      </c>
      <c r="Z274" s="18"/>
      <c r="AA274" s="10">
        <f>AB274+AC274</f>
        <v>300</v>
      </c>
      <c r="AB274" s="10">
        <v>300</v>
      </c>
      <c r="AC274" s="10"/>
      <c r="AD274" s="10">
        <f>AE274+AF274+AG274+AH274+AI274+AJ274</f>
        <v>300</v>
      </c>
      <c r="AE274" s="64"/>
      <c r="AF274" s="64"/>
      <c r="AG274" s="18"/>
      <c r="AH274" s="18"/>
      <c r="AI274" s="18">
        <v>300</v>
      </c>
      <c r="AJ274" s="18"/>
    </row>
    <row r="275" spans="1:36" ht="41.45" customHeight="1" x14ac:dyDescent="0.25">
      <c r="A275" s="11" t="s">
        <v>69</v>
      </c>
      <c r="B275" s="47" t="s">
        <v>102</v>
      </c>
      <c r="C275" s="49">
        <f>C276+C280+C285</f>
        <v>8</v>
      </c>
      <c r="D275" s="49">
        <f t="shared" ref="D275:AJ275" si="421">D276+D280+D285</f>
        <v>85</v>
      </c>
      <c r="E275" s="49">
        <f t="shared" si="421"/>
        <v>147</v>
      </c>
      <c r="F275" s="49">
        <f t="shared" si="421"/>
        <v>0</v>
      </c>
      <c r="G275" s="49">
        <f t="shared" si="421"/>
        <v>185642</v>
      </c>
      <c r="H275" s="49">
        <f t="shared" si="421"/>
        <v>110515</v>
      </c>
      <c r="I275" s="49">
        <f t="shared" si="421"/>
        <v>0</v>
      </c>
      <c r="J275" s="49">
        <f t="shared" si="421"/>
        <v>12360</v>
      </c>
      <c r="K275" s="49">
        <f t="shared" si="421"/>
        <v>62767</v>
      </c>
      <c r="L275" s="49">
        <f t="shared" si="421"/>
        <v>0</v>
      </c>
      <c r="M275" s="49">
        <f t="shared" si="421"/>
        <v>8</v>
      </c>
      <c r="N275" s="49">
        <f t="shared" si="421"/>
        <v>96</v>
      </c>
      <c r="O275" s="49">
        <f t="shared" si="421"/>
        <v>157</v>
      </c>
      <c r="P275" s="49"/>
      <c r="Q275" s="49">
        <f t="shared" si="421"/>
        <v>0</v>
      </c>
      <c r="R275" s="49">
        <f t="shared" si="421"/>
        <v>297616</v>
      </c>
      <c r="S275" s="49">
        <f t="shared" si="421"/>
        <v>267534</v>
      </c>
      <c r="T275" s="49">
        <f t="shared" si="421"/>
        <v>30082</v>
      </c>
      <c r="U275" s="49">
        <f t="shared" si="421"/>
        <v>0</v>
      </c>
      <c r="V275" s="49">
        <f t="shared" si="421"/>
        <v>0</v>
      </c>
      <c r="W275" s="49">
        <f t="shared" si="421"/>
        <v>256927</v>
      </c>
      <c r="X275" s="49">
        <f t="shared" si="421"/>
        <v>233780</v>
      </c>
      <c r="Y275" s="49">
        <f t="shared" si="421"/>
        <v>23147</v>
      </c>
      <c r="Z275" s="49">
        <f t="shared" si="421"/>
        <v>0</v>
      </c>
      <c r="AA275" s="49">
        <f t="shared" si="421"/>
        <v>3700</v>
      </c>
      <c r="AB275" s="49">
        <f t="shared" si="421"/>
        <v>3700</v>
      </c>
      <c r="AC275" s="49">
        <f t="shared" si="421"/>
        <v>0</v>
      </c>
      <c r="AD275" s="49">
        <f t="shared" si="421"/>
        <v>3700</v>
      </c>
      <c r="AE275" s="49">
        <f t="shared" si="421"/>
        <v>0</v>
      </c>
      <c r="AF275" s="49">
        <f t="shared" si="421"/>
        <v>0</v>
      </c>
      <c r="AG275" s="49">
        <f t="shared" si="421"/>
        <v>0</v>
      </c>
      <c r="AH275" s="49">
        <f t="shared" si="421"/>
        <v>0</v>
      </c>
      <c r="AI275" s="49">
        <f t="shared" si="421"/>
        <v>3700</v>
      </c>
      <c r="AJ275" s="49">
        <f t="shared" si="421"/>
        <v>0</v>
      </c>
    </row>
    <row r="276" spans="1:36" ht="39" customHeight="1" x14ac:dyDescent="0.25">
      <c r="A276" s="5"/>
      <c r="B276" s="47" t="s">
        <v>29</v>
      </c>
      <c r="C276" s="33">
        <f>SUM(C277:C279)</f>
        <v>3</v>
      </c>
      <c r="D276" s="33">
        <f t="shared" ref="D276:K276" si="422">SUM(D277:D279)</f>
        <v>13</v>
      </c>
      <c r="E276" s="33">
        <f t="shared" si="422"/>
        <v>42</v>
      </c>
      <c r="F276" s="33">
        <f t="shared" si="422"/>
        <v>0</v>
      </c>
      <c r="G276" s="33">
        <f t="shared" si="422"/>
        <v>49814</v>
      </c>
      <c r="H276" s="33">
        <f t="shared" si="422"/>
        <v>40451</v>
      </c>
      <c r="I276" s="33">
        <f t="shared" si="422"/>
        <v>0</v>
      </c>
      <c r="J276" s="33">
        <f t="shared" si="422"/>
        <v>1800</v>
      </c>
      <c r="K276" s="33">
        <f t="shared" si="422"/>
        <v>7563</v>
      </c>
      <c r="L276" s="33"/>
      <c r="M276" s="33">
        <f t="shared" ref="M276" si="423">SUM(M277:M279)</f>
        <v>3</v>
      </c>
      <c r="N276" s="33">
        <f t="shared" ref="N276" si="424">SUM(N277:N279)</f>
        <v>18</v>
      </c>
      <c r="O276" s="33">
        <f t="shared" ref="O276" si="425">SUM(O277:O279)</f>
        <v>46</v>
      </c>
      <c r="P276" s="33"/>
      <c r="Q276" s="33"/>
      <c r="R276" s="33">
        <f t="shared" ref="R276" si="426">SUM(R277:R279)</f>
        <v>89129</v>
      </c>
      <c r="S276" s="33">
        <f t="shared" ref="S276" si="427">SUM(S277:S279)</f>
        <v>74147</v>
      </c>
      <c r="T276" s="33">
        <f t="shared" ref="T276" si="428">SUM(T277:T279)</f>
        <v>14982</v>
      </c>
      <c r="U276" s="33"/>
      <c r="V276" s="33"/>
      <c r="W276" s="33">
        <f t="shared" ref="W276" si="429">SUM(W277:W279)</f>
        <v>73674</v>
      </c>
      <c r="X276" s="33">
        <f t="shared" ref="X276" si="430">SUM(X277:X279)</f>
        <v>60027</v>
      </c>
      <c r="Y276" s="33">
        <f t="shared" ref="Y276" si="431">SUM(Y277:Y279)</f>
        <v>13647</v>
      </c>
      <c r="Z276" s="33">
        <f t="shared" ref="Z276" si="432">SUM(Z277:Z279)</f>
        <v>0</v>
      </c>
      <c r="AA276" s="33">
        <f t="shared" ref="AA276" si="433">SUM(AA277:AA279)</f>
        <v>1300</v>
      </c>
      <c r="AB276" s="33">
        <f t="shared" ref="AB276" si="434">SUM(AB277:AB279)</f>
        <v>1300</v>
      </c>
      <c r="AC276" s="33">
        <f t="shared" ref="AC276" si="435">SUM(AC277:AC279)</f>
        <v>0</v>
      </c>
      <c r="AD276" s="33">
        <f t="shared" ref="AD276" si="436">SUM(AD277:AD279)</f>
        <v>1300</v>
      </c>
      <c r="AE276" s="33">
        <f t="shared" ref="AE276" si="437">SUM(AE277:AE279)</f>
        <v>0</v>
      </c>
      <c r="AF276" s="33">
        <f t="shared" ref="AF276" si="438">SUM(AF277:AF279)</f>
        <v>0</v>
      </c>
      <c r="AG276" s="33">
        <f t="shared" ref="AG276" si="439">SUM(AG277:AG279)</f>
        <v>0</v>
      </c>
      <c r="AH276" s="33">
        <f t="shared" ref="AH276" si="440">SUM(AH277:AH279)</f>
        <v>0</v>
      </c>
      <c r="AI276" s="33">
        <f t="shared" ref="AI276" si="441">SUM(AI277:AI279)</f>
        <v>1300</v>
      </c>
      <c r="AJ276" s="33">
        <f t="shared" ref="AJ276" si="442">SUM(AJ277:AJ279)</f>
        <v>0</v>
      </c>
    </row>
    <row r="277" spans="1:36" ht="61.15" customHeight="1" x14ac:dyDescent="0.25">
      <c r="A277" s="5">
        <v>1</v>
      </c>
      <c r="B277" s="5" t="s">
        <v>108</v>
      </c>
      <c r="C277" s="18">
        <v>1</v>
      </c>
      <c r="D277" s="18">
        <v>5</v>
      </c>
      <c r="E277" s="18">
        <v>13</v>
      </c>
      <c r="F277" s="18"/>
      <c r="G277" s="9">
        <f>H277+I277+J277+K277</f>
        <v>17045</v>
      </c>
      <c r="H277" s="18">
        <v>17045</v>
      </c>
      <c r="I277" s="18"/>
      <c r="J277" s="18"/>
      <c r="K277" s="18"/>
      <c r="L277" s="6">
        <v>2024</v>
      </c>
      <c r="M277" s="18">
        <v>1</v>
      </c>
      <c r="N277" s="22">
        <v>9</v>
      </c>
      <c r="O277" s="22">
        <v>16</v>
      </c>
      <c r="P277" s="13"/>
      <c r="Q277" s="90" t="s">
        <v>424</v>
      </c>
      <c r="R277" s="89">
        <f>S277+T277</f>
        <v>32158</v>
      </c>
      <c r="S277" s="85">
        <v>22511</v>
      </c>
      <c r="T277" s="85">
        <v>9647</v>
      </c>
      <c r="U277" s="6">
        <v>2024</v>
      </c>
      <c r="V277" s="6">
        <v>2</v>
      </c>
      <c r="W277" s="10">
        <f t="shared" ref="W277:W286" si="443">X277+Y277+Z277</f>
        <v>32158</v>
      </c>
      <c r="X277" s="18">
        <v>22511</v>
      </c>
      <c r="Y277" s="29">
        <v>9647</v>
      </c>
      <c r="Z277" s="18"/>
      <c r="AA277" s="10">
        <f>AB277+AC277</f>
        <v>500</v>
      </c>
      <c r="AB277" s="10">
        <v>500</v>
      </c>
      <c r="AC277" s="10"/>
      <c r="AD277" s="10">
        <f t="shared" ref="AD277:AD286" si="444">AE277+AF277+AG277+AH277+AI277+AJ277</f>
        <v>500</v>
      </c>
      <c r="AE277" s="18"/>
      <c r="AF277" s="18"/>
      <c r="AG277" s="18"/>
      <c r="AH277" s="18"/>
      <c r="AI277" s="10">
        <f t="shared" ref="AI277:AI286" si="445">AB277</f>
        <v>500</v>
      </c>
      <c r="AJ277" s="18"/>
    </row>
    <row r="278" spans="1:36" ht="61.9" customHeight="1" x14ac:dyDescent="0.25">
      <c r="A278" s="5">
        <v>2</v>
      </c>
      <c r="B278" s="5" t="s">
        <v>107</v>
      </c>
      <c r="C278" s="18">
        <v>1</v>
      </c>
      <c r="D278" s="18">
        <v>8</v>
      </c>
      <c r="E278" s="18">
        <v>14</v>
      </c>
      <c r="F278" s="18"/>
      <c r="G278" s="9">
        <f>H278+I278+J278+K278</f>
        <v>25206</v>
      </c>
      <c r="H278" s="18">
        <v>23406</v>
      </c>
      <c r="I278" s="18"/>
      <c r="J278" s="18">
        <v>1800</v>
      </c>
      <c r="K278" s="18"/>
      <c r="L278" s="6">
        <v>2024</v>
      </c>
      <c r="M278" s="18">
        <v>1</v>
      </c>
      <c r="N278" s="22">
        <v>9</v>
      </c>
      <c r="O278" s="22">
        <v>16</v>
      </c>
      <c r="P278" s="13"/>
      <c r="Q278" s="90" t="s">
        <v>430</v>
      </c>
      <c r="R278" s="89">
        <f>S278+T278</f>
        <v>35742</v>
      </c>
      <c r="S278" s="91">
        <f>35742-3335</f>
        <v>32407</v>
      </c>
      <c r="T278" s="91">
        <v>3335</v>
      </c>
      <c r="U278" s="6">
        <v>2024</v>
      </c>
      <c r="V278" s="6">
        <v>2</v>
      </c>
      <c r="W278" s="10">
        <f t="shared" si="443"/>
        <v>31516</v>
      </c>
      <c r="X278" s="18">
        <v>29516</v>
      </c>
      <c r="Y278" s="29">
        <f>'[1]2023 (NSTT)'!$M$38</f>
        <v>2000</v>
      </c>
      <c r="Z278" s="18"/>
      <c r="AA278" s="10">
        <f>AB278+AC278</f>
        <v>500</v>
      </c>
      <c r="AB278" s="10">
        <v>500</v>
      </c>
      <c r="AC278" s="10"/>
      <c r="AD278" s="10">
        <f t="shared" si="444"/>
        <v>500</v>
      </c>
      <c r="AE278" s="18"/>
      <c r="AF278" s="18"/>
      <c r="AG278" s="18"/>
      <c r="AH278" s="18"/>
      <c r="AI278" s="10">
        <f t="shared" si="445"/>
        <v>500</v>
      </c>
      <c r="AJ278" s="18"/>
    </row>
    <row r="279" spans="1:36" ht="67.150000000000006" customHeight="1" x14ac:dyDescent="0.25">
      <c r="A279" s="5">
        <v>3</v>
      </c>
      <c r="B279" s="5" t="s">
        <v>105</v>
      </c>
      <c r="C279" s="18">
        <v>1</v>
      </c>
      <c r="D279" s="18">
        <v>0</v>
      </c>
      <c r="E279" s="18">
        <v>15</v>
      </c>
      <c r="F279" s="18"/>
      <c r="G279" s="9">
        <f>H279+I279+J279+K279</f>
        <v>7563</v>
      </c>
      <c r="H279" s="18"/>
      <c r="I279" s="18"/>
      <c r="J279" s="18"/>
      <c r="K279" s="18">
        <v>7563</v>
      </c>
      <c r="L279" s="6">
        <v>2023</v>
      </c>
      <c r="M279" s="18">
        <v>1</v>
      </c>
      <c r="N279" s="22">
        <v>0</v>
      </c>
      <c r="O279" s="22">
        <v>14</v>
      </c>
      <c r="P279" s="13"/>
      <c r="Q279" s="88" t="s">
        <v>429</v>
      </c>
      <c r="R279" s="89">
        <f>S279+T279</f>
        <v>21229</v>
      </c>
      <c r="S279" s="87">
        <v>19229</v>
      </c>
      <c r="T279" s="87">
        <v>2000</v>
      </c>
      <c r="U279" s="6">
        <v>2023</v>
      </c>
      <c r="V279" s="6">
        <v>2</v>
      </c>
      <c r="W279" s="10">
        <f>X279+Y279+Z279</f>
        <v>10000</v>
      </c>
      <c r="X279" s="87">
        <v>8000</v>
      </c>
      <c r="Y279" s="85">
        <v>2000</v>
      </c>
      <c r="Z279" s="18"/>
      <c r="AA279" s="10">
        <f>AB279+AC279</f>
        <v>300</v>
      </c>
      <c r="AB279" s="10">
        <v>300</v>
      </c>
      <c r="AC279" s="10"/>
      <c r="AD279" s="10">
        <f>AE279+AF279+AG279+AH279+AI279+AJ279</f>
        <v>300</v>
      </c>
      <c r="AE279" s="87"/>
      <c r="AF279" s="87"/>
      <c r="AG279" s="87"/>
      <c r="AH279" s="87"/>
      <c r="AI279" s="87">
        <v>300</v>
      </c>
      <c r="AJ279" s="87">
        <v>0</v>
      </c>
    </row>
    <row r="280" spans="1:36" ht="31.9" customHeight="1" x14ac:dyDescent="0.25">
      <c r="A280" s="5"/>
      <c r="B280" s="47" t="s">
        <v>37</v>
      </c>
      <c r="C280" s="33">
        <f>C281+C282+C283+C284</f>
        <v>4</v>
      </c>
      <c r="D280" s="33">
        <f t="shared" ref="D280:AJ280" si="446">D281+D282+D283+D284</f>
        <v>54</v>
      </c>
      <c r="E280" s="33">
        <f t="shared" si="446"/>
        <v>80</v>
      </c>
      <c r="F280" s="33">
        <f t="shared" si="446"/>
        <v>0</v>
      </c>
      <c r="G280" s="33">
        <f t="shared" si="446"/>
        <v>95075</v>
      </c>
      <c r="H280" s="33">
        <f t="shared" si="446"/>
        <v>70064</v>
      </c>
      <c r="I280" s="33">
        <f t="shared" si="446"/>
        <v>0</v>
      </c>
      <c r="J280" s="33">
        <f t="shared" si="446"/>
        <v>6300</v>
      </c>
      <c r="K280" s="33">
        <f t="shared" si="446"/>
        <v>18711</v>
      </c>
      <c r="L280" s="33"/>
      <c r="M280" s="33">
        <f t="shared" si="446"/>
        <v>4</v>
      </c>
      <c r="N280" s="33">
        <f t="shared" si="446"/>
        <v>60</v>
      </c>
      <c r="O280" s="33">
        <f t="shared" si="446"/>
        <v>81</v>
      </c>
      <c r="P280" s="33"/>
      <c r="Q280" s="33"/>
      <c r="R280" s="33">
        <f t="shared" si="446"/>
        <v>144001</v>
      </c>
      <c r="S280" s="33">
        <f t="shared" si="446"/>
        <v>132901</v>
      </c>
      <c r="T280" s="33">
        <f t="shared" si="446"/>
        <v>11100</v>
      </c>
      <c r="U280" s="33"/>
      <c r="V280" s="33"/>
      <c r="W280" s="33">
        <f t="shared" si="446"/>
        <v>124527</v>
      </c>
      <c r="X280" s="33">
        <f t="shared" si="446"/>
        <v>119027</v>
      </c>
      <c r="Y280" s="33">
        <f t="shared" si="446"/>
        <v>5500</v>
      </c>
      <c r="Z280" s="33">
        <f t="shared" si="446"/>
        <v>0</v>
      </c>
      <c r="AA280" s="33">
        <f t="shared" si="446"/>
        <v>1800</v>
      </c>
      <c r="AB280" s="33">
        <f t="shared" si="446"/>
        <v>1800</v>
      </c>
      <c r="AC280" s="33">
        <f t="shared" si="446"/>
        <v>0</v>
      </c>
      <c r="AD280" s="33">
        <f t="shared" si="446"/>
        <v>1800</v>
      </c>
      <c r="AE280" s="33">
        <f t="shared" si="446"/>
        <v>0</v>
      </c>
      <c r="AF280" s="33">
        <f t="shared" si="446"/>
        <v>0</v>
      </c>
      <c r="AG280" s="33">
        <f t="shared" si="446"/>
        <v>0</v>
      </c>
      <c r="AH280" s="33">
        <f t="shared" si="446"/>
        <v>0</v>
      </c>
      <c r="AI280" s="33">
        <f t="shared" si="446"/>
        <v>1800</v>
      </c>
      <c r="AJ280" s="33">
        <f t="shared" si="446"/>
        <v>0</v>
      </c>
    </row>
    <row r="281" spans="1:36" ht="51.6" customHeight="1" x14ac:dyDescent="0.25">
      <c r="A281" s="5">
        <v>1</v>
      </c>
      <c r="B281" s="26" t="s">
        <v>115</v>
      </c>
      <c r="C281" s="18">
        <v>1</v>
      </c>
      <c r="D281" s="18">
        <v>5</v>
      </c>
      <c r="E281" s="18">
        <v>19</v>
      </c>
      <c r="F281" s="18"/>
      <c r="G281" s="9">
        <f>H281+I281+J281+K281</f>
        <v>15947</v>
      </c>
      <c r="H281" s="18">
        <v>15947</v>
      </c>
      <c r="I281" s="18"/>
      <c r="J281" s="18"/>
      <c r="K281" s="18"/>
      <c r="L281" s="6">
        <v>2023</v>
      </c>
      <c r="M281" s="18">
        <v>1</v>
      </c>
      <c r="N281" s="22">
        <v>10</v>
      </c>
      <c r="O281" s="22">
        <v>18</v>
      </c>
      <c r="P281" s="13"/>
      <c r="Q281" s="90" t="s">
        <v>426</v>
      </c>
      <c r="R281" s="37">
        <f>S281+T281</f>
        <v>29083</v>
      </c>
      <c r="S281" s="91">
        <f>29083-3000</f>
        <v>26083</v>
      </c>
      <c r="T281" s="85">
        <v>3000</v>
      </c>
      <c r="U281" s="6">
        <v>2024</v>
      </c>
      <c r="V281" s="6">
        <v>1</v>
      </c>
      <c r="W281" s="10">
        <f t="shared" si="443"/>
        <v>26171</v>
      </c>
      <c r="X281" s="18">
        <v>23671</v>
      </c>
      <c r="Y281" s="29">
        <f>'[1]2023 (NSTT)'!$M$42</f>
        <v>2500</v>
      </c>
      <c r="Z281" s="18"/>
      <c r="AA281" s="18">
        <f>AB281+AC281</f>
        <v>500</v>
      </c>
      <c r="AB281" s="18">
        <v>500</v>
      </c>
      <c r="AC281" s="29"/>
      <c r="AD281" s="10">
        <f t="shared" si="444"/>
        <v>500</v>
      </c>
      <c r="AE281" s="18"/>
      <c r="AF281" s="18"/>
      <c r="AG281" s="18"/>
      <c r="AH281" s="18"/>
      <c r="AI281" s="10">
        <f t="shared" si="445"/>
        <v>500</v>
      </c>
      <c r="AJ281" s="18"/>
    </row>
    <row r="282" spans="1:36" ht="67.900000000000006" customHeight="1" x14ac:dyDescent="0.25">
      <c r="A282" s="5">
        <v>2</v>
      </c>
      <c r="B282" s="26" t="s">
        <v>116</v>
      </c>
      <c r="C282" s="18">
        <v>1</v>
      </c>
      <c r="D282" s="18">
        <v>10</v>
      </c>
      <c r="E282" s="18">
        <v>22</v>
      </c>
      <c r="F282" s="18"/>
      <c r="G282" s="9">
        <f>H282+I282+J282+K282</f>
        <v>20126</v>
      </c>
      <c r="H282" s="18">
        <v>20126</v>
      </c>
      <c r="I282" s="18"/>
      <c r="J282" s="18"/>
      <c r="K282" s="18"/>
      <c r="L282" s="6">
        <v>2023</v>
      </c>
      <c r="M282" s="18">
        <v>1</v>
      </c>
      <c r="N282" s="22">
        <v>15</v>
      </c>
      <c r="O282" s="22">
        <v>20</v>
      </c>
      <c r="P282" s="13"/>
      <c r="Q282" s="90" t="s">
        <v>433</v>
      </c>
      <c r="R282" s="37">
        <f>S282+T282</f>
        <v>37526</v>
      </c>
      <c r="S282" s="87">
        <f>37526-2500</f>
        <v>35026</v>
      </c>
      <c r="T282" s="85">
        <v>2500</v>
      </c>
      <c r="U282" s="6">
        <v>2024</v>
      </c>
      <c r="V282" s="6">
        <v>2</v>
      </c>
      <c r="W282" s="10">
        <f t="shared" si="443"/>
        <v>32542</v>
      </c>
      <c r="X282" s="18">
        <v>32542</v>
      </c>
      <c r="Y282" s="29"/>
      <c r="Z282" s="18"/>
      <c r="AA282" s="18">
        <f>AB282+AC282</f>
        <v>500</v>
      </c>
      <c r="AB282" s="18">
        <v>500</v>
      </c>
      <c r="AC282" s="29">
        <f>Y282</f>
        <v>0</v>
      </c>
      <c r="AD282" s="10">
        <f t="shared" si="444"/>
        <v>500</v>
      </c>
      <c r="AE282" s="18"/>
      <c r="AF282" s="18"/>
      <c r="AG282" s="18"/>
      <c r="AH282" s="18"/>
      <c r="AI282" s="10">
        <f t="shared" si="445"/>
        <v>500</v>
      </c>
      <c r="AJ282" s="18"/>
    </row>
    <row r="283" spans="1:36" ht="61.15" customHeight="1" x14ac:dyDescent="0.25">
      <c r="A283" s="5">
        <v>3</v>
      </c>
      <c r="B283" s="26" t="s">
        <v>120</v>
      </c>
      <c r="C283" s="18">
        <v>1</v>
      </c>
      <c r="D283" s="18">
        <v>9</v>
      </c>
      <c r="E283" s="18">
        <v>19</v>
      </c>
      <c r="F283" s="18"/>
      <c r="G283" s="9">
        <f>H283+I283+J283+K283</f>
        <v>18711</v>
      </c>
      <c r="H283" s="18"/>
      <c r="I283" s="18"/>
      <c r="J283" s="18"/>
      <c r="K283" s="18">
        <v>18711</v>
      </c>
      <c r="L283" s="18">
        <v>2024</v>
      </c>
      <c r="M283" s="18">
        <v>1</v>
      </c>
      <c r="N283" s="22">
        <v>10</v>
      </c>
      <c r="O283" s="22">
        <v>18</v>
      </c>
      <c r="P283" s="13"/>
      <c r="Q283" s="90" t="s">
        <v>434</v>
      </c>
      <c r="R283" s="37">
        <f>S283+T283</f>
        <v>26194</v>
      </c>
      <c r="S283" s="85">
        <f>26194-1100</f>
        <v>25094</v>
      </c>
      <c r="T283" s="85">
        <v>1100</v>
      </c>
      <c r="U283" s="6">
        <v>2024</v>
      </c>
      <c r="V283" s="6">
        <v>1</v>
      </c>
      <c r="W283" s="10">
        <f t="shared" si="443"/>
        <v>18712</v>
      </c>
      <c r="X283" s="18">
        <v>18712</v>
      </c>
      <c r="Y283" s="18"/>
      <c r="Z283" s="18"/>
      <c r="AA283" s="18">
        <f>AB283+AC283</f>
        <v>300</v>
      </c>
      <c r="AB283" s="18">
        <v>300</v>
      </c>
      <c r="AC283" s="29">
        <f>Y283</f>
        <v>0</v>
      </c>
      <c r="AD283" s="10">
        <f t="shared" si="444"/>
        <v>300</v>
      </c>
      <c r="AE283" s="18"/>
      <c r="AF283" s="18"/>
      <c r="AG283" s="18"/>
      <c r="AH283" s="18"/>
      <c r="AI283" s="10">
        <f t="shared" si="445"/>
        <v>300</v>
      </c>
      <c r="AJ283" s="18"/>
    </row>
    <row r="284" spans="1:36" ht="72" customHeight="1" x14ac:dyDescent="0.25">
      <c r="A284" s="5">
        <v>4</v>
      </c>
      <c r="B284" s="26" t="s">
        <v>114</v>
      </c>
      <c r="C284" s="18">
        <v>1</v>
      </c>
      <c r="D284" s="18">
        <v>30</v>
      </c>
      <c r="E284" s="18">
        <v>20</v>
      </c>
      <c r="F284" s="18"/>
      <c r="G284" s="9">
        <f>H284+I284+J284+K284</f>
        <v>40291</v>
      </c>
      <c r="H284" s="18">
        <v>33991</v>
      </c>
      <c r="I284" s="18"/>
      <c r="J284" s="18">
        <v>6300</v>
      </c>
      <c r="K284" s="18"/>
      <c r="L284" s="18">
        <v>2023</v>
      </c>
      <c r="M284" s="18">
        <v>1</v>
      </c>
      <c r="N284" s="22">
        <v>25</v>
      </c>
      <c r="O284" s="22">
        <v>25</v>
      </c>
      <c r="P284" s="13"/>
      <c r="Q284" s="90" t="s">
        <v>435</v>
      </c>
      <c r="R284" s="37">
        <f>S284+T284</f>
        <v>51198</v>
      </c>
      <c r="S284" s="91">
        <f>51198-4500</f>
        <v>46698</v>
      </c>
      <c r="T284" s="91">
        <v>4500</v>
      </c>
      <c r="U284" s="6">
        <v>2024</v>
      </c>
      <c r="V284" s="6">
        <v>2</v>
      </c>
      <c r="W284" s="10">
        <f t="shared" si="443"/>
        <v>47102</v>
      </c>
      <c r="X284" s="18">
        <v>44102</v>
      </c>
      <c r="Y284" s="18">
        <v>3000</v>
      </c>
      <c r="Z284" s="29"/>
      <c r="AA284" s="18">
        <f>AB284+AC284</f>
        <v>500</v>
      </c>
      <c r="AB284" s="18">
        <v>500</v>
      </c>
      <c r="AC284" s="29"/>
      <c r="AD284" s="10">
        <f t="shared" si="444"/>
        <v>500</v>
      </c>
      <c r="AE284" s="18"/>
      <c r="AF284" s="18"/>
      <c r="AG284" s="18"/>
      <c r="AH284" s="18"/>
      <c r="AI284" s="10">
        <f t="shared" si="445"/>
        <v>500</v>
      </c>
      <c r="AJ284" s="18"/>
    </row>
    <row r="285" spans="1:36" ht="36.6" customHeight="1" x14ac:dyDescent="0.25">
      <c r="A285" s="5"/>
      <c r="B285" s="47" t="s">
        <v>64</v>
      </c>
      <c r="C285" s="33">
        <f>C286</f>
        <v>1</v>
      </c>
      <c r="D285" s="33">
        <f t="shared" ref="D285:AJ285" si="447">D286</f>
        <v>18</v>
      </c>
      <c r="E285" s="33">
        <f t="shared" si="447"/>
        <v>25</v>
      </c>
      <c r="F285" s="33">
        <f t="shared" si="447"/>
        <v>0</v>
      </c>
      <c r="G285" s="33">
        <f t="shared" si="447"/>
        <v>40753</v>
      </c>
      <c r="H285" s="33">
        <f t="shared" si="447"/>
        <v>0</v>
      </c>
      <c r="I285" s="33">
        <f t="shared" si="447"/>
        <v>0</v>
      </c>
      <c r="J285" s="33">
        <f t="shared" si="447"/>
        <v>4260</v>
      </c>
      <c r="K285" s="33">
        <f t="shared" si="447"/>
        <v>36493</v>
      </c>
      <c r="L285" s="33"/>
      <c r="M285" s="33">
        <f t="shared" si="447"/>
        <v>1</v>
      </c>
      <c r="N285" s="33">
        <f t="shared" si="447"/>
        <v>18</v>
      </c>
      <c r="O285" s="33">
        <f t="shared" si="447"/>
        <v>30</v>
      </c>
      <c r="P285" s="33"/>
      <c r="Q285" s="33"/>
      <c r="R285" s="33">
        <f t="shared" si="447"/>
        <v>64486</v>
      </c>
      <c r="S285" s="33">
        <f t="shared" si="447"/>
        <v>60486</v>
      </c>
      <c r="T285" s="33">
        <f t="shared" si="447"/>
        <v>4000</v>
      </c>
      <c r="U285" s="33"/>
      <c r="V285" s="33"/>
      <c r="W285" s="33">
        <f t="shared" si="447"/>
        <v>58726</v>
      </c>
      <c r="X285" s="33">
        <f t="shared" si="447"/>
        <v>54726</v>
      </c>
      <c r="Y285" s="33">
        <f t="shared" si="447"/>
        <v>4000</v>
      </c>
      <c r="Z285" s="33">
        <f t="shared" si="447"/>
        <v>0</v>
      </c>
      <c r="AA285" s="33">
        <f t="shared" si="447"/>
        <v>600</v>
      </c>
      <c r="AB285" s="33">
        <f t="shared" si="447"/>
        <v>600</v>
      </c>
      <c r="AC285" s="33">
        <f t="shared" si="447"/>
        <v>0</v>
      </c>
      <c r="AD285" s="33">
        <f t="shared" si="447"/>
        <v>600</v>
      </c>
      <c r="AE285" s="33">
        <f t="shared" si="447"/>
        <v>0</v>
      </c>
      <c r="AF285" s="33">
        <f t="shared" si="447"/>
        <v>0</v>
      </c>
      <c r="AG285" s="33">
        <f t="shared" si="447"/>
        <v>0</v>
      </c>
      <c r="AH285" s="33">
        <f t="shared" si="447"/>
        <v>0</v>
      </c>
      <c r="AI285" s="33">
        <f t="shared" si="447"/>
        <v>600</v>
      </c>
      <c r="AJ285" s="33">
        <f t="shared" si="447"/>
        <v>0</v>
      </c>
    </row>
    <row r="286" spans="1:36" ht="53.45" customHeight="1" x14ac:dyDescent="0.25">
      <c r="A286" s="5">
        <v>1</v>
      </c>
      <c r="B286" s="26" t="s">
        <v>124</v>
      </c>
      <c r="C286" s="18">
        <v>1</v>
      </c>
      <c r="D286" s="18">
        <v>18</v>
      </c>
      <c r="E286" s="18">
        <v>25</v>
      </c>
      <c r="F286" s="18"/>
      <c r="G286" s="9">
        <f>H286+I286+J286+K286</f>
        <v>40753</v>
      </c>
      <c r="H286" s="18"/>
      <c r="I286" s="18"/>
      <c r="J286" s="18">
        <v>4260</v>
      </c>
      <c r="K286" s="18">
        <v>36493</v>
      </c>
      <c r="L286" s="18">
        <v>2024</v>
      </c>
      <c r="M286" s="18">
        <v>1</v>
      </c>
      <c r="N286" s="22">
        <v>18</v>
      </c>
      <c r="O286" s="22">
        <v>30</v>
      </c>
      <c r="P286" s="13"/>
      <c r="Q286" s="90" t="s">
        <v>436</v>
      </c>
      <c r="R286" s="37">
        <f>S286+T286</f>
        <v>64486</v>
      </c>
      <c r="S286" s="91">
        <v>60486</v>
      </c>
      <c r="T286" s="29">
        <v>4000</v>
      </c>
      <c r="U286" s="6">
        <v>2025</v>
      </c>
      <c r="V286" s="22">
        <v>2</v>
      </c>
      <c r="W286" s="10">
        <f t="shared" si="443"/>
        <v>58726</v>
      </c>
      <c r="X286" s="18">
        <v>54726</v>
      </c>
      <c r="Y286" s="29">
        <v>4000</v>
      </c>
      <c r="Z286" s="18"/>
      <c r="AA286" s="18">
        <f>AB286+AC286</f>
        <v>600</v>
      </c>
      <c r="AB286" s="18">
        <v>600</v>
      </c>
      <c r="AC286" s="29"/>
      <c r="AD286" s="10">
        <f t="shared" si="444"/>
        <v>600</v>
      </c>
      <c r="AE286" s="18"/>
      <c r="AF286" s="18"/>
      <c r="AG286" s="18"/>
      <c r="AH286" s="18"/>
      <c r="AI286" s="10">
        <f t="shared" si="445"/>
        <v>600</v>
      </c>
      <c r="AJ286" s="18"/>
    </row>
    <row r="287" spans="1:36" ht="29.45" customHeight="1" x14ac:dyDescent="0.25">
      <c r="A287" s="11" t="s">
        <v>82</v>
      </c>
      <c r="B287" s="47" t="s">
        <v>273</v>
      </c>
      <c r="C287" s="49">
        <f t="shared" ref="C287:M287" si="448">C288+C291+C293</f>
        <v>4</v>
      </c>
      <c r="D287" s="49">
        <f t="shared" si="448"/>
        <v>37</v>
      </c>
      <c r="E287" s="49">
        <f t="shared" si="448"/>
        <v>58</v>
      </c>
      <c r="F287" s="49">
        <f t="shared" si="448"/>
        <v>0</v>
      </c>
      <c r="G287" s="49">
        <f t="shared" si="448"/>
        <v>99233</v>
      </c>
      <c r="H287" s="49">
        <f t="shared" si="448"/>
        <v>38542</v>
      </c>
      <c r="I287" s="49">
        <f t="shared" si="448"/>
        <v>0</v>
      </c>
      <c r="J287" s="49">
        <f t="shared" si="448"/>
        <v>10800</v>
      </c>
      <c r="K287" s="49">
        <f t="shared" si="448"/>
        <v>49891</v>
      </c>
      <c r="L287" s="49">
        <f t="shared" si="448"/>
        <v>0</v>
      </c>
      <c r="M287" s="49">
        <f t="shared" si="448"/>
        <v>4</v>
      </c>
      <c r="N287" s="49">
        <f t="shared" ref="N287:AJ287" si="449">N288+N291+N293</f>
        <v>57</v>
      </c>
      <c r="O287" s="49">
        <f t="shared" si="449"/>
        <v>52</v>
      </c>
      <c r="P287" s="49"/>
      <c r="Q287" s="49">
        <f t="shared" si="449"/>
        <v>0</v>
      </c>
      <c r="R287" s="49">
        <f t="shared" si="449"/>
        <v>166289</v>
      </c>
      <c r="S287" s="49">
        <f t="shared" si="449"/>
        <v>137249</v>
      </c>
      <c r="T287" s="49">
        <f t="shared" si="449"/>
        <v>29040</v>
      </c>
      <c r="U287" s="49">
        <f t="shared" si="449"/>
        <v>0</v>
      </c>
      <c r="V287" s="49">
        <f t="shared" si="449"/>
        <v>0</v>
      </c>
      <c r="W287" s="49">
        <f t="shared" si="449"/>
        <v>166289</v>
      </c>
      <c r="X287" s="49">
        <f t="shared" si="449"/>
        <v>137249</v>
      </c>
      <c r="Y287" s="49">
        <f t="shared" si="449"/>
        <v>29040</v>
      </c>
      <c r="Z287" s="49">
        <f t="shared" si="449"/>
        <v>0</v>
      </c>
      <c r="AA287" s="49">
        <f t="shared" si="449"/>
        <v>2000</v>
      </c>
      <c r="AB287" s="49">
        <f t="shared" si="449"/>
        <v>2000</v>
      </c>
      <c r="AC287" s="49">
        <f t="shared" si="449"/>
        <v>0</v>
      </c>
      <c r="AD287" s="49">
        <f t="shared" si="449"/>
        <v>2000</v>
      </c>
      <c r="AE287" s="49">
        <f t="shared" si="449"/>
        <v>0</v>
      </c>
      <c r="AF287" s="49">
        <f t="shared" si="449"/>
        <v>0</v>
      </c>
      <c r="AG287" s="49">
        <f t="shared" si="449"/>
        <v>0</v>
      </c>
      <c r="AH287" s="49">
        <f t="shared" si="449"/>
        <v>0</v>
      </c>
      <c r="AI287" s="49">
        <f t="shared" si="449"/>
        <v>2000</v>
      </c>
      <c r="AJ287" s="49">
        <f t="shared" si="449"/>
        <v>0</v>
      </c>
    </row>
    <row r="288" spans="1:36" ht="28.9" customHeight="1" x14ac:dyDescent="0.25">
      <c r="A288" s="5"/>
      <c r="B288" s="47" t="s">
        <v>29</v>
      </c>
      <c r="C288" s="33">
        <f>C289+C290</f>
        <v>2</v>
      </c>
      <c r="D288" s="33">
        <f t="shared" ref="D288:AJ288" si="450">D289+D290</f>
        <v>19</v>
      </c>
      <c r="E288" s="33">
        <f t="shared" si="450"/>
        <v>27</v>
      </c>
      <c r="F288" s="33">
        <f t="shared" si="450"/>
        <v>0</v>
      </c>
      <c r="G288" s="33">
        <f t="shared" si="450"/>
        <v>54174</v>
      </c>
      <c r="H288" s="33">
        <f t="shared" si="450"/>
        <v>14653</v>
      </c>
      <c r="I288" s="33">
        <f t="shared" si="450"/>
        <v>0</v>
      </c>
      <c r="J288" s="33">
        <f t="shared" si="450"/>
        <v>1800</v>
      </c>
      <c r="K288" s="33">
        <f t="shared" si="450"/>
        <v>37721</v>
      </c>
      <c r="L288" s="33"/>
      <c r="M288" s="33">
        <f t="shared" si="450"/>
        <v>2</v>
      </c>
      <c r="N288" s="33">
        <f t="shared" si="450"/>
        <v>24</v>
      </c>
      <c r="O288" s="33">
        <f t="shared" si="450"/>
        <v>15</v>
      </c>
      <c r="P288" s="33"/>
      <c r="Q288" s="33">
        <f t="shared" si="450"/>
        <v>0</v>
      </c>
      <c r="R288" s="33">
        <f t="shared" si="450"/>
        <v>63433</v>
      </c>
      <c r="S288" s="33">
        <f t="shared" si="450"/>
        <v>59383</v>
      </c>
      <c r="T288" s="33">
        <f t="shared" si="450"/>
        <v>4050</v>
      </c>
      <c r="U288" s="33"/>
      <c r="V288" s="33"/>
      <c r="W288" s="33">
        <f t="shared" si="450"/>
        <v>63433</v>
      </c>
      <c r="X288" s="33">
        <f t="shared" si="450"/>
        <v>59383</v>
      </c>
      <c r="Y288" s="33">
        <f t="shared" si="450"/>
        <v>4050</v>
      </c>
      <c r="Z288" s="33">
        <f t="shared" si="450"/>
        <v>0</v>
      </c>
      <c r="AA288" s="33">
        <f t="shared" si="450"/>
        <v>900</v>
      </c>
      <c r="AB288" s="33">
        <f t="shared" si="450"/>
        <v>900</v>
      </c>
      <c r="AC288" s="33">
        <f t="shared" si="450"/>
        <v>0</v>
      </c>
      <c r="AD288" s="33">
        <f t="shared" si="450"/>
        <v>900</v>
      </c>
      <c r="AE288" s="33">
        <f t="shared" si="450"/>
        <v>0</v>
      </c>
      <c r="AF288" s="33">
        <f t="shared" si="450"/>
        <v>0</v>
      </c>
      <c r="AG288" s="33">
        <f t="shared" si="450"/>
        <v>0</v>
      </c>
      <c r="AH288" s="33">
        <f t="shared" si="450"/>
        <v>0</v>
      </c>
      <c r="AI288" s="33">
        <f t="shared" si="450"/>
        <v>900</v>
      </c>
      <c r="AJ288" s="33">
        <f t="shared" si="450"/>
        <v>0</v>
      </c>
    </row>
    <row r="289" spans="1:36" ht="55.15" customHeight="1" x14ac:dyDescent="0.25">
      <c r="A289" s="5">
        <v>1</v>
      </c>
      <c r="B289" s="5" t="s">
        <v>196</v>
      </c>
      <c r="C289" s="18">
        <v>1</v>
      </c>
      <c r="D289" s="9">
        <v>15</v>
      </c>
      <c r="E289" s="9">
        <v>14</v>
      </c>
      <c r="F289" s="9"/>
      <c r="G289" s="9">
        <f>H289+I289+J289+K289</f>
        <v>37721</v>
      </c>
      <c r="H289" s="9"/>
      <c r="I289" s="9"/>
      <c r="J289" s="9"/>
      <c r="K289" s="9">
        <v>37721</v>
      </c>
      <c r="L289" s="6">
        <v>2023</v>
      </c>
      <c r="M289" s="9">
        <v>1</v>
      </c>
      <c r="N289" s="4">
        <v>14</v>
      </c>
      <c r="O289" s="4">
        <v>15</v>
      </c>
      <c r="P289" s="8"/>
      <c r="Q289" s="8"/>
      <c r="R289" s="37">
        <f>S289+T289</f>
        <v>44974</v>
      </c>
      <c r="S289" s="37">
        <v>41074</v>
      </c>
      <c r="T289" s="37">
        <v>3900</v>
      </c>
      <c r="U289" s="6">
        <v>2024</v>
      </c>
      <c r="V289" s="6">
        <v>2</v>
      </c>
      <c r="W289" s="10">
        <f t="shared" ref="W289:W294" si="451">X289+Y289+Z289</f>
        <v>44974</v>
      </c>
      <c r="X289" s="18">
        <f>S289</f>
        <v>41074</v>
      </c>
      <c r="Y289" s="18">
        <f>T289</f>
        <v>3900</v>
      </c>
      <c r="Z289" s="18"/>
      <c r="AA289" s="10">
        <f>AB289+AC289</f>
        <v>600</v>
      </c>
      <c r="AB289" s="10">
        <v>600</v>
      </c>
      <c r="AC289" s="10"/>
      <c r="AD289" s="10">
        <f t="shared" ref="AD289:AD294" si="452">AE289+AF289+AG289+AH289+AI289+AJ289</f>
        <v>600</v>
      </c>
      <c r="AE289" s="10"/>
      <c r="AF289" s="10"/>
      <c r="AG289" s="10"/>
      <c r="AH289" s="10"/>
      <c r="AI289" s="10">
        <f t="shared" ref="AI289:AI294" si="453">AB289</f>
        <v>600</v>
      </c>
      <c r="AJ289" s="10"/>
    </row>
    <row r="290" spans="1:36" ht="58.9" customHeight="1" x14ac:dyDescent="0.25">
      <c r="A290" s="5">
        <v>2</v>
      </c>
      <c r="B290" s="5" t="s">
        <v>195</v>
      </c>
      <c r="C290" s="18">
        <v>1</v>
      </c>
      <c r="D290" s="9">
        <v>4</v>
      </c>
      <c r="E290" s="9">
        <v>13</v>
      </c>
      <c r="F290" s="9"/>
      <c r="G290" s="9">
        <f>H290+I290+J290+K290</f>
        <v>16453</v>
      </c>
      <c r="H290" s="9">
        <v>14653</v>
      </c>
      <c r="I290" s="9"/>
      <c r="J290" s="9">
        <v>1800</v>
      </c>
      <c r="K290" s="9"/>
      <c r="L290" s="7">
        <v>2021</v>
      </c>
      <c r="M290" s="9">
        <v>1</v>
      </c>
      <c r="N290" s="4">
        <v>10</v>
      </c>
      <c r="O290" s="4"/>
      <c r="P290" s="8"/>
      <c r="Q290" s="8"/>
      <c r="R290" s="37">
        <f>S290+T290</f>
        <v>18459</v>
      </c>
      <c r="S290" s="37">
        <v>18309</v>
      </c>
      <c r="T290" s="37">
        <v>150</v>
      </c>
      <c r="U290" s="7">
        <v>2024</v>
      </c>
      <c r="V290" s="7">
        <v>2</v>
      </c>
      <c r="W290" s="10">
        <f t="shared" si="451"/>
        <v>18459</v>
      </c>
      <c r="X290" s="9">
        <f>S290</f>
        <v>18309</v>
      </c>
      <c r="Y290" s="9">
        <f>T290</f>
        <v>150</v>
      </c>
      <c r="Z290" s="9"/>
      <c r="AA290" s="10">
        <f>AB290+AC290</f>
        <v>300</v>
      </c>
      <c r="AB290" s="10">
        <v>300</v>
      </c>
      <c r="AC290" s="10"/>
      <c r="AD290" s="10">
        <f t="shared" si="452"/>
        <v>300</v>
      </c>
      <c r="AE290" s="10"/>
      <c r="AF290" s="10"/>
      <c r="AG290" s="10"/>
      <c r="AH290" s="10"/>
      <c r="AI290" s="10">
        <f t="shared" si="453"/>
        <v>300</v>
      </c>
      <c r="AJ290" s="10"/>
    </row>
    <row r="291" spans="1:36" ht="28.9" customHeight="1" x14ac:dyDescent="0.25">
      <c r="A291" s="5"/>
      <c r="B291" s="47" t="s">
        <v>37</v>
      </c>
      <c r="C291" s="33">
        <f>C292</f>
        <v>1</v>
      </c>
      <c r="D291" s="33">
        <f t="shared" ref="D291:K291" si="454">D292</f>
        <v>15</v>
      </c>
      <c r="E291" s="33">
        <f t="shared" si="454"/>
        <v>20</v>
      </c>
      <c r="F291" s="33">
        <f t="shared" si="454"/>
        <v>0</v>
      </c>
      <c r="G291" s="33">
        <f t="shared" si="454"/>
        <v>32889</v>
      </c>
      <c r="H291" s="33">
        <f t="shared" si="454"/>
        <v>23889</v>
      </c>
      <c r="I291" s="33">
        <f t="shared" si="454"/>
        <v>0</v>
      </c>
      <c r="J291" s="33">
        <f t="shared" si="454"/>
        <v>9000</v>
      </c>
      <c r="K291" s="33">
        <f t="shared" si="454"/>
        <v>0</v>
      </c>
      <c r="L291" s="33"/>
      <c r="M291" s="33">
        <f t="shared" ref="M291" si="455">M292</f>
        <v>1</v>
      </c>
      <c r="N291" s="33">
        <f t="shared" ref="N291" si="456">N292</f>
        <v>19</v>
      </c>
      <c r="O291" s="33">
        <f t="shared" ref="O291" si="457">O292</f>
        <v>20</v>
      </c>
      <c r="P291" s="33"/>
      <c r="Q291" s="33"/>
      <c r="R291" s="33">
        <f t="shared" ref="R291" si="458">R292</f>
        <v>65150</v>
      </c>
      <c r="S291" s="33">
        <f t="shared" ref="S291" si="459">S292</f>
        <v>41506</v>
      </c>
      <c r="T291" s="33">
        <f t="shared" ref="T291" si="460">T292</f>
        <v>23644</v>
      </c>
      <c r="U291" s="33"/>
      <c r="V291" s="33"/>
      <c r="W291" s="33">
        <f t="shared" ref="W291" si="461">W292</f>
        <v>65150</v>
      </c>
      <c r="X291" s="33">
        <f t="shared" ref="X291" si="462">X292</f>
        <v>41506</v>
      </c>
      <c r="Y291" s="33">
        <f t="shared" ref="Y291" si="463">Y292</f>
        <v>23644</v>
      </c>
      <c r="Z291" s="33">
        <f t="shared" ref="Z291" si="464">Z292</f>
        <v>0</v>
      </c>
      <c r="AA291" s="33">
        <f t="shared" ref="AA291" si="465">AA292</f>
        <v>600</v>
      </c>
      <c r="AB291" s="33">
        <f t="shared" ref="AB291" si="466">AB292</f>
        <v>600</v>
      </c>
      <c r="AC291" s="33">
        <f t="shared" ref="AC291" si="467">AC292</f>
        <v>0</v>
      </c>
      <c r="AD291" s="33">
        <f t="shared" ref="AD291" si="468">AD292</f>
        <v>600</v>
      </c>
      <c r="AE291" s="33">
        <f t="shared" ref="AE291" si="469">AE292</f>
        <v>0</v>
      </c>
      <c r="AF291" s="33">
        <f t="shared" ref="AF291" si="470">AF292</f>
        <v>0</v>
      </c>
      <c r="AG291" s="33">
        <f t="shared" ref="AG291" si="471">AG292</f>
        <v>0</v>
      </c>
      <c r="AH291" s="33">
        <f t="shared" ref="AH291" si="472">AH292</f>
        <v>0</v>
      </c>
      <c r="AI291" s="33">
        <f t="shared" ref="AI291" si="473">AI292</f>
        <v>600</v>
      </c>
      <c r="AJ291" s="33">
        <f t="shared" ref="AJ291" si="474">AJ292</f>
        <v>0</v>
      </c>
    </row>
    <row r="292" spans="1:36" ht="55.15" customHeight="1" x14ac:dyDescent="0.25">
      <c r="A292" s="5">
        <v>1</v>
      </c>
      <c r="B292" s="5" t="s">
        <v>203</v>
      </c>
      <c r="C292" s="18">
        <v>1</v>
      </c>
      <c r="D292" s="9">
        <v>15</v>
      </c>
      <c r="E292" s="9">
        <v>20</v>
      </c>
      <c r="F292" s="9"/>
      <c r="G292" s="9">
        <f>H292+I292+J292+K292</f>
        <v>32889</v>
      </c>
      <c r="H292" s="9">
        <v>23889</v>
      </c>
      <c r="I292" s="9"/>
      <c r="J292" s="9">
        <v>9000</v>
      </c>
      <c r="K292" s="9"/>
      <c r="L292" s="9">
        <v>2022</v>
      </c>
      <c r="M292" s="9">
        <v>1</v>
      </c>
      <c r="N292" s="4">
        <v>19</v>
      </c>
      <c r="O292" s="4">
        <v>20</v>
      </c>
      <c r="P292" s="8"/>
      <c r="Q292" s="8"/>
      <c r="R292" s="37">
        <f>S292+T292</f>
        <v>65150</v>
      </c>
      <c r="S292" s="10">
        <v>41506</v>
      </c>
      <c r="T292" s="10">
        <v>23644</v>
      </c>
      <c r="U292" s="7">
        <v>2024</v>
      </c>
      <c r="V292" s="7">
        <v>2</v>
      </c>
      <c r="W292" s="10">
        <f t="shared" si="451"/>
        <v>65150</v>
      </c>
      <c r="X292" s="18">
        <v>41506</v>
      </c>
      <c r="Y292" s="18">
        <v>23644</v>
      </c>
      <c r="Z292" s="9"/>
      <c r="AA292" s="10">
        <f>AB292+AC292</f>
        <v>600</v>
      </c>
      <c r="AB292" s="10">
        <v>600</v>
      </c>
      <c r="AC292" s="10"/>
      <c r="AD292" s="10">
        <f t="shared" si="452"/>
        <v>600</v>
      </c>
      <c r="AE292" s="10"/>
      <c r="AF292" s="10"/>
      <c r="AG292" s="10"/>
      <c r="AH292" s="10"/>
      <c r="AI292" s="10">
        <f t="shared" si="453"/>
        <v>600</v>
      </c>
      <c r="AJ292" s="10"/>
    </row>
    <row r="293" spans="1:36" ht="31.15" customHeight="1" x14ac:dyDescent="0.25">
      <c r="A293" s="5"/>
      <c r="B293" s="47" t="s">
        <v>64</v>
      </c>
      <c r="C293" s="33">
        <f>C294</f>
        <v>1</v>
      </c>
      <c r="D293" s="33">
        <f t="shared" ref="D293:K293" si="475">D294</f>
        <v>3</v>
      </c>
      <c r="E293" s="33">
        <f t="shared" si="475"/>
        <v>11</v>
      </c>
      <c r="F293" s="33">
        <f t="shared" si="475"/>
        <v>0</v>
      </c>
      <c r="G293" s="33">
        <f t="shared" si="475"/>
        <v>12170</v>
      </c>
      <c r="H293" s="33">
        <f t="shared" si="475"/>
        <v>0</v>
      </c>
      <c r="I293" s="33">
        <f t="shared" si="475"/>
        <v>0</v>
      </c>
      <c r="J293" s="33">
        <f t="shared" si="475"/>
        <v>0</v>
      </c>
      <c r="K293" s="33">
        <f t="shared" si="475"/>
        <v>12170</v>
      </c>
      <c r="L293" s="33"/>
      <c r="M293" s="33">
        <f t="shared" ref="M293" si="476">M294</f>
        <v>1</v>
      </c>
      <c r="N293" s="33">
        <f t="shared" ref="N293" si="477">N294</f>
        <v>14</v>
      </c>
      <c r="O293" s="33">
        <f t="shared" ref="O293" si="478">O294</f>
        <v>17</v>
      </c>
      <c r="P293" s="33"/>
      <c r="Q293" s="33"/>
      <c r="R293" s="33">
        <f t="shared" ref="R293" si="479">R294</f>
        <v>37706</v>
      </c>
      <c r="S293" s="33">
        <f t="shared" ref="S293" si="480">S294</f>
        <v>36360</v>
      </c>
      <c r="T293" s="33">
        <f t="shared" ref="T293" si="481">T294</f>
        <v>1346</v>
      </c>
      <c r="U293" s="33"/>
      <c r="V293" s="33"/>
      <c r="W293" s="33">
        <f t="shared" ref="W293" si="482">W294</f>
        <v>37706</v>
      </c>
      <c r="X293" s="33">
        <f t="shared" ref="X293" si="483">X294</f>
        <v>36360</v>
      </c>
      <c r="Y293" s="33">
        <f t="shared" ref="Y293" si="484">Y294</f>
        <v>1346</v>
      </c>
      <c r="Z293" s="33">
        <f t="shared" ref="Z293" si="485">Z294</f>
        <v>0</v>
      </c>
      <c r="AA293" s="33">
        <f t="shared" ref="AA293" si="486">AA294</f>
        <v>500</v>
      </c>
      <c r="AB293" s="33">
        <f t="shared" ref="AB293" si="487">AB294</f>
        <v>500</v>
      </c>
      <c r="AC293" s="33">
        <f t="shared" ref="AC293" si="488">AC294</f>
        <v>0</v>
      </c>
      <c r="AD293" s="33">
        <f t="shared" ref="AD293" si="489">AD294</f>
        <v>500</v>
      </c>
      <c r="AE293" s="33">
        <f t="shared" ref="AE293" si="490">AE294</f>
        <v>0</v>
      </c>
      <c r="AF293" s="33">
        <f t="shared" ref="AF293" si="491">AF294</f>
        <v>0</v>
      </c>
      <c r="AG293" s="33">
        <f t="shared" ref="AG293" si="492">AG294</f>
        <v>0</v>
      </c>
      <c r="AH293" s="33">
        <f t="shared" ref="AH293" si="493">AH294</f>
        <v>0</v>
      </c>
      <c r="AI293" s="33">
        <f t="shared" ref="AI293" si="494">AI294</f>
        <v>500</v>
      </c>
      <c r="AJ293" s="33">
        <f t="shared" ref="AJ293" si="495">AJ294</f>
        <v>0</v>
      </c>
    </row>
    <row r="294" spans="1:36" ht="79.900000000000006" customHeight="1" x14ac:dyDescent="0.25">
      <c r="A294" s="5">
        <v>1</v>
      </c>
      <c r="B294" s="5" t="s">
        <v>209</v>
      </c>
      <c r="C294" s="18">
        <v>1</v>
      </c>
      <c r="D294" s="9">
        <v>3</v>
      </c>
      <c r="E294" s="9">
        <v>11</v>
      </c>
      <c r="F294" s="9"/>
      <c r="G294" s="9">
        <f>H294+I294+J294+K294</f>
        <v>12170</v>
      </c>
      <c r="H294" s="9"/>
      <c r="I294" s="9"/>
      <c r="J294" s="9"/>
      <c r="K294" s="9">
        <v>12170</v>
      </c>
      <c r="L294" s="7">
        <v>2024</v>
      </c>
      <c r="M294" s="9">
        <v>1</v>
      </c>
      <c r="N294" s="4">
        <v>14</v>
      </c>
      <c r="O294" s="4">
        <v>17</v>
      </c>
      <c r="P294" s="8"/>
      <c r="Q294" s="8"/>
      <c r="R294" s="37">
        <f>S294+T294</f>
        <v>37706</v>
      </c>
      <c r="S294" s="37">
        <v>36360</v>
      </c>
      <c r="T294" s="37">
        <v>1346</v>
      </c>
      <c r="U294" s="7">
        <v>2025</v>
      </c>
      <c r="V294" s="7">
        <v>2</v>
      </c>
      <c r="W294" s="10">
        <f t="shared" si="451"/>
        <v>37706</v>
      </c>
      <c r="X294" s="18">
        <v>36360</v>
      </c>
      <c r="Y294" s="18">
        <v>1346</v>
      </c>
      <c r="Z294" s="9"/>
      <c r="AA294" s="10">
        <f>AB294+AC294</f>
        <v>500</v>
      </c>
      <c r="AB294" s="10">
        <v>500</v>
      </c>
      <c r="AC294" s="10"/>
      <c r="AD294" s="10">
        <f t="shared" si="452"/>
        <v>500</v>
      </c>
      <c r="AE294" s="10"/>
      <c r="AF294" s="10"/>
      <c r="AG294" s="10"/>
      <c r="AH294" s="10"/>
      <c r="AI294" s="10">
        <f t="shared" si="453"/>
        <v>500</v>
      </c>
      <c r="AJ294" s="10"/>
    </row>
    <row r="295" spans="1:36" ht="37.9" customHeight="1" x14ac:dyDescent="0.25">
      <c r="A295" s="11" t="s">
        <v>101</v>
      </c>
      <c r="B295" s="47" t="s">
        <v>286</v>
      </c>
      <c r="C295" s="49">
        <f>C296</f>
        <v>2</v>
      </c>
      <c r="D295" s="49">
        <f t="shared" ref="D295:M295" si="496">D296</f>
        <v>20</v>
      </c>
      <c r="E295" s="49">
        <f t="shared" si="496"/>
        <v>32</v>
      </c>
      <c r="F295" s="49">
        <f t="shared" si="496"/>
        <v>0</v>
      </c>
      <c r="G295" s="49">
        <f t="shared" si="496"/>
        <v>60708</v>
      </c>
      <c r="H295" s="49">
        <f t="shared" si="496"/>
        <v>56388</v>
      </c>
      <c r="I295" s="49">
        <f t="shared" si="496"/>
        <v>0</v>
      </c>
      <c r="J295" s="49">
        <f t="shared" si="496"/>
        <v>4320</v>
      </c>
      <c r="K295" s="49">
        <f t="shared" si="496"/>
        <v>0</v>
      </c>
      <c r="L295" s="49"/>
      <c r="M295" s="49">
        <f t="shared" si="496"/>
        <v>2</v>
      </c>
      <c r="N295" s="49">
        <f t="shared" ref="N295:O295" si="497">N296</f>
        <v>20</v>
      </c>
      <c r="O295" s="49">
        <f t="shared" si="497"/>
        <v>32</v>
      </c>
      <c r="P295" s="8"/>
      <c r="Q295" s="8"/>
      <c r="R295" s="49">
        <f t="shared" ref="R295:AJ295" si="498">R296</f>
        <v>111219</v>
      </c>
      <c r="S295" s="49">
        <f t="shared" si="498"/>
        <v>90019</v>
      </c>
      <c r="T295" s="49">
        <f t="shared" si="498"/>
        <v>21200</v>
      </c>
      <c r="U295" s="49">
        <f t="shared" si="498"/>
        <v>4048</v>
      </c>
      <c r="V295" s="49">
        <f t="shared" si="498"/>
        <v>4</v>
      </c>
      <c r="W295" s="49">
        <f t="shared" si="498"/>
        <v>111219</v>
      </c>
      <c r="X295" s="49">
        <f t="shared" si="498"/>
        <v>90019</v>
      </c>
      <c r="Y295" s="49">
        <f t="shared" si="498"/>
        <v>21200</v>
      </c>
      <c r="Z295" s="49">
        <f t="shared" si="498"/>
        <v>0</v>
      </c>
      <c r="AA295" s="49">
        <f t="shared" si="498"/>
        <v>1200</v>
      </c>
      <c r="AB295" s="49">
        <f t="shared" si="498"/>
        <v>1200</v>
      </c>
      <c r="AC295" s="49">
        <f t="shared" si="498"/>
        <v>0</v>
      </c>
      <c r="AD295" s="49">
        <f t="shared" si="498"/>
        <v>1200</v>
      </c>
      <c r="AE295" s="49">
        <f t="shared" si="498"/>
        <v>0</v>
      </c>
      <c r="AF295" s="49">
        <f t="shared" si="498"/>
        <v>0</v>
      </c>
      <c r="AG295" s="49">
        <f t="shared" si="498"/>
        <v>0</v>
      </c>
      <c r="AH295" s="49">
        <f t="shared" si="498"/>
        <v>0</v>
      </c>
      <c r="AI295" s="49">
        <f t="shared" si="498"/>
        <v>1200</v>
      </c>
      <c r="AJ295" s="49">
        <f t="shared" si="498"/>
        <v>0</v>
      </c>
    </row>
    <row r="296" spans="1:36" ht="40.9" customHeight="1" x14ac:dyDescent="0.25">
      <c r="A296" s="11"/>
      <c r="B296" s="47" t="s">
        <v>128</v>
      </c>
      <c r="C296" s="33">
        <f>C297+C298</f>
        <v>2</v>
      </c>
      <c r="D296" s="33">
        <f t="shared" ref="D296:M296" si="499">D297+D298</f>
        <v>20</v>
      </c>
      <c r="E296" s="33">
        <f t="shared" si="499"/>
        <v>32</v>
      </c>
      <c r="F296" s="33">
        <f t="shared" si="499"/>
        <v>0</v>
      </c>
      <c r="G296" s="33">
        <f t="shared" si="499"/>
        <v>60708</v>
      </c>
      <c r="H296" s="33">
        <f t="shared" si="499"/>
        <v>56388</v>
      </c>
      <c r="I296" s="33">
        <f t="shared" si="499"/>
        <v>0</v>
      </c>
      <c r="J296" s="33">
        <f t="shared" si="499"/>
        <v>4320</v>
      </c>
      <c r="K296" s="33">
        <f t="shared" si="499"/>
        <v>0</v>
      </c>
      <c r="L296" s="33"/>
      <c r="M296" s="33">
        <f t="shared" si="499"/>
        <v>2</v>
      </c>
      <c r="N296" s="33">
        <f t="shared" ref="N296:O296" si="500">N297+N298</f>
        <v>20</v>
      </c>
      <c r="O296" s="33">
        <f t="shared" si="500"/>
        <v>32</v>
      </c>
      <c r="P296" s="8"/>
      <c r="Q296" s="8"/>
      <c r="R296" s="33">
        <f t="shared" ref="R296:AJ296" si="501">R297+R298</f>
        <v>111219</v>
      </c>
      <c r="S296" s="33">
        <f t="shared" si="501"/>
        <v>90019</v>
      </c>
      <c r="T296" s="33">
        <f t="shared" si="501"/>
        <v>21200</v>
      </c>
      <c r="U296" s="33">
        <f t="shared" si="501"/>
        <v>4048</v>
      </c>
      <c r="V296" s="33">
        <f t="shared" si="501"/>
        <v>4</v>
      </c>
      <c r="W296" s="33">
        <f t="shared" si="501"/>
        <v>111219</v>
      </c>
      <c r="X296" s="33">
        <f t="shared" si="501"/>
        <v>90019</v>
      </c>
      <c r="Y296" s="33">
        <f t="shared" si="501"/>
        <v>21200</v>
      </c>
      <c r="Z296" s="33">
        <f t="shared" si="501"/>
        <v>0</v>
      </c>
      <c r="AA296" s="33">
        <f t="shared" si="501"/>
        <v>1200</v>
      </c>
      <c r="AB296" s="33">
        <f t="shared" si="501"/>
        <v>1200</v>
      </c>
      <c r="AC296" s="33">
        <f t="shared" si="501"/>
        <v>0</v>
      </c>
      <c r="AD296" s="33">
        <f t="shared" si="501"/>
        <v>1200</v>
      </c>
      <c r="AE296" s="33">
        <f t="shared" si="501"/>
        <v>0</v>
      </c>
      <c r="AF296" s="33">
        <f t="shared" si="501"/>
        <v>0</v>
      </c>
      <c r="AG296" s="33">
        <f t="shared" si="501"/>
        <v>0</v>
      </c>
      <c r="AH296" s="33">
        <f t="shared" si="501"/>
        <v>0</v>
      </c>
      <c r="AI296" s="33">
        <f t="shared" si="501"/>
        <v>1200</v>
      </c>
      <c r="AJ296" s="33">
        <f t="shared" si="501"/>
        <v>0</v>
      </c>
    </row>
    <row r="297" spans="1:36" ht="50.45" customHeight="1" x14ac:dyDescent="0.25">
      <c r="A297" s="5">
        <v>1</v>
      </c>
      <c r="B297" s="5" t="s">
        <v>210</v>
      </c>
      <c r="C297" s="9">
        <v>1</v>
      </c>
      <c r="D297" s="9">
        <v>10</v>
      </c>
      <c r="E297" s="9">
        <v>16</v>
      </c>
      <c r="F297" s="9"/>
      <c r="G297" s="9">
        <f>H297+I297+J297+K297</f>
        <v>30354</v>
      </c>
      <c r="H297" s="9">
        <v>28194</v>
      </c>
      <c r="I297" s="9"/>
      <c r="J297" s="9">
        <v>2160</v>
      </c>
      <c r="K297" s="9"/>
      <c r="L297" s="7">
        <v>2022</v>
      </c>
      <c r="M297" s="9">
        <v>1</v>
      </c>
      <c r="N297" s="9">
        <v>10</v>
      </c>
      <c r="O297" s="9">
        <v>16</v>
      </c>
      <c r="P297" s="8"/>
      <c r="Q297" s="8"/>
      <c r="R297" s="37">
        <f t="shared" ref="R297:R298" si="502">S297+T297</f>
        <v>59984</v>
      </c>
      <c r="S297" s="37">
        <v>47984</v>
      </c>
      <c r="T297" s="37">
        <v>12000</v>
      </c>
      <c r="U297" s="6">
        <v>2024</v>
      </c>
      <c r="V297" s="7">
        <v>2</v>
      </c>
      <c r="W297" s="10">
        <f t="shared" ref="W297:W298" si="503">X297+Y297+Z297</f>
        <v>59984</v>
      </c>
      <c r="X297" s="9">
        <f>59984-12000</f>
        <v>47984</v>
      </c>
      <c r="Y297" s="9">
        <v>12000</v>
      </c>
      <c r="Z297" s="49"/>
      <c r="AA297" s="10">
        <f>AB297+AC297</f>
        <v>600</v>
      </c>
      <c r="AB297" s="10">
        <v>600</v>
      </c>
      <c r="AC297" s="10"/>
      <c r="AD297" s="10">
        <f t="shared" ref="AD297:AD298" si="504">AE297+AF297+AG297+AH297+AI297+AJ297</f>
        <v>600</v>
      </c>
      <c r="AE297" s="49"/>
      <c r="AF297" s="49"/>
      <c r="AG297" s="49"/>
      <c r="AH297" s="49"/>
      <c r="AI297" s="10">
        <f t="shared" ref="AI297:AI298" si="505">AB297</f>
        <v>600</v>
      </c>
      <c r="AJ297" s="49"/>
    </row>
    <row r="298" spans="1:36" ht="61.15" customHeight="1" x14ac:dyDescent="0.25">
      <c r="A298" s="5">
        <v>2</v>
      </c>
      <c r="B298" s="5" t="s">
        <v>211</v>
      </c>
      <c r="C298" s="9">
        <v>1</v>
      </c>
      <c r="D298" s="9">
        <v>10</v>
      </c>
      <c r="E298" s="9">
        <v>16</v>
      </c>
      <c r="F298" s="9"/>
      <c r="G298" s="9">
        <f>H298+I298+J298+K298</f>
        <v>30354</v>
      </c>
      <c r="H298" s="9">
        <v>28194</v>
      </c>
      <c r="I298" s="9"/>
      <c r="J298" s="9">
        <v>2160</v>
      </c>
      <c r="K298" s="9"/>
      <c r="L298" s="7">
        <v>2024</v>
      </c>
      <c r="M298" s="9">
        <v>1</v>
      </c>
      <c r="N298" s="9">
        <v>10</v>
      </c>
      <c r="O298" s="9">
        <v>16</v>
      </c>
      <c r="P298" s="8"/>
      <c r="Q298" s="8"/>
      <c r="R298" s="37">
        <f t="shared" si="502"/>
        <v>51235</v>
      </c>
      <c r="S298" s="37">
        <v>42035</v>
      </c>
      <c r="T298" s="37">
        <v>9200</v>
      </c>
      <c r="U298" s="6">
        <v>2024</v>
      </c>
      <c r="V298" s="7">
        <v>2</v>
      </c>
      <c r="W298" s="10">
        <f t="shared" si="503"/>
        <v>51235</v>
      </c>
      <c r="X298" s="9">
        <f>51235-9200</f>
        <v>42035</v>
      </c>
      <c r="Y298" s="9">
        <v>9200</v>
      </c>
      <c r="Z298" s="49"/>
      <c r="AA298" s="10">
        <f>AB298+AC298</f>
        <v>600</v>
      </c>
      <c r="AB298" s="10">
        <v>600</v>
      </c>
      <c r="AC298" s="10"/>
      <c r="AD298" s="10">
        <f t="shared" si="504"/>
        <v>600</v>
      </c>
      <c r="AE298" s="49"/>
      <c r="AF298" s="49"/>
      <c r="AG298" s="49"/>
      <c r="AH298" s="49"/>
      <c r="AI298" s="10">
        <f t="shared" si="505"/>
        <v>600</v>
      </c>
      <c r="AJ298" s="49"/>
    </row>
    <row r="299" spans="1:36" ht="34.9" customHeight="1" x14ac:dyDescent="0.25">
      <c r="A299" s="11" t="s">
        <v>125</v>
      </c>
      <c r="B299" s="47" t="s">
        <v>165</v>
      </c>
      <c r="C299" s="49">
        <f>C300+C306</f>
        <v>11</v>
      </c>
      <c r="D299" s="49">
        <f t="shared" ref="D299:F299" si="506">D300+D306</f>
        <v>86</v>
      </c>
      <c r="E299" s="49">
        <f t="shared" si="506"/>
        <v>166</v>
      </c>
      <c r="F299" s="49">
        <f t="shared" si="506"/>
        <v>0</v>
      </c>
      <c r="G299" s="49">
        <f t="shared" ref="G299" si="507">G300+G306</f>
        <v>224813</v>
      </c>
      <c r="H299" s="49">
        <f t="shared" ref="H299" si="508">H300+H306</f>
        <v>169282</v>
      </c>
      <c r="I299" s="49">
        <f t="shared" ref="I299" si="509">I300+I306</f>
        <v>0</v>
      </c>
      <c r="J299" s="49">
        <f t="shared" ref="J299" si="510">J300+J306</f>
        <v>1200</v>
      </c>
      <c r="K299" s="49">
        <f t="shared" ref="K299" si="511">K300+K306</f>
        <v>54331</v>
      </c>
      <c r="L299" s="49"/>
      <c r="M299" s="49">
        <f t="shared" ref="M299" si="512">M300+M306</f>
        <v>11</v>
      </c>
      <c r="N299" s="49">
        <f t="shared" ref="N299" si="513">N300+N306</f>
        <v>106</v>
      </c>
      <c r="O299" s="49">
        <f t="shared" ref="O299" si="514">O300+O306</f>
        <v>181</v>
      </c>
      <c r="P299" s="49"/>
      <c r="Q299" s="49"/>
      <c r="R299" s="49">
        <f t="shared" ref="R299" si="515">R300+R306</f>
        <v>563089</v>
      </c>
      <c r="S299" s="49">
        <f t="shared" ref="S299" si="516">S300+S306</f>
        <v>400725</v>
      </c>
      <c r="T299" s="49">
        <f t="shared" ref="T299" si="517">T300+T306</f>
        <v>162364</v>
      </c>
      <c r="U299" s="49"/>
      <c r="V299" s="49"/>
      <c r="W299" s="49">
        <f t="shared" ref="W299" si="518">W300+W306</f>
        <v>378766</v>
      </c>
      <c r="X299" s="49">
        <f t="shared" ref="X299" si="519">X300+X306</f>
        <v>377966</v>
      </c>
      <c r="Y299" s="49">
        <f t="shared" ref="Y299" si="520">Y300+Y306</f>
        <v>800</v>
      </c>
      <c r="Z299" s="49">
        <f t="shared" ref="Z299" si="521">Z300+Z306</f>
        <v>0</v>
      </c>
      <c r="AA299" s="49">
        <f t="shared" ref="AA299" si="522">AA300+AA306</f>
        <v>5100</v>
      </c>
      <c r="AB299" s="49">
        <f t="shared" ref="AB299" si="523">AB300+AB306</f>
        <v>5100</v>
      </c>
      <c r="AC299" s="49">
        <f t="shared" ref="AC299" si="524">AC300+AC306</f>
        <v>0</v>
      </c>
      <c r="AD299" s="49">
        <f t="shared" ref="AD299" si="525">AD300+AD306</f>
        <v>5100</v>
      </c>
      <c r="AE299" s="49">
        <f t="shared" ref="AE299" si="526">AE300+AE306</f>
        <v>0</v>
      </c>
      <c r="AF299" s="49">
        <f t="shared" ref="AF299" si="527">AF300+AF306</f>
        <v>0</v>
      </c>
      <c r="AG299" s="49">
        <f t="shared" ref="AG299" si="528">AG300+AG306</f>
        <v>0</v>
      </c>
      <c r="AH299" s="49">
        <f t="shared" ref="AH299" si="529">AH300+AH306</f>
        <v>0</v>
      </c>
      <c r="AI299" s="49">
        <f t="shared" ref="AI299" si="530">AI300+AI306</f>
        <v>5100</v>
      </c>
      <c r="AJ299" s="49">
        <f t="shared" ref="AJ299" si="531">AJ300+AJ306</f>
        <v>0</v>
      </c>
    </row>
    <row r="300" spans="1:36" ht="39" customHeight="1" x14ac:dyDescent="0.25">
      <c r="A300" s="47"/>
      <c r="B300" s="47" t="s">
        <v>29</v>
      </c>
      <c r="C300" s="33">
        <f>C301+C302+C303+C304+C305</f>
        <v>5</v>
      </c>
      <c r="D300" s="33">
        <f t="shared" ref="D300:AJ300" si="532">D301+D302+D303+D304+D305</f>
        <v>48</v>
      </c>
      <c r="E300" s="33">
        <f t="shared" si="532"/>
        <v>56</v>
      </c>
      <c r="F300" s="33">
        <f t="shared" si="532"/>
        <v>0</v>
      </c>
      <c r="G300" s="33">
        <f t="shared" si="532"/>
        <v>128079</v>
      </c>
      <c r="H300" s="33">
        <f t="shared" si="532"/>
        <v>99855</v>
      </c>
      <c r="I300" s="33">
        <f t="shared" si="532"/>
        <v>0</v>
      </c>
      <c r="J300" s="33">
        <f t="shared" si="532"/>
        <v>1200</v>
      </c>
      <c r="K300" s="33">
        <f t="shared" si="532"/>
        <v>27024</v>
      </c>
      <c r="L300" s="33"/>
      <c r="M300" s="33">
        <f t="shared" si="532"/>
        <v>5</v>
      </c>
      <c r="N300" s="33">
        <f t="shared" si="532"/>
        <v>66</v>
      </c>
      <c r="O300" s="33">
        <f t="shared" si="532"/>
        <v>72</v>
      </c>
      <c r="P300" s="33"/>
      <c r="Q300" s="33">
        <f t="shared" si="532"/>
        <v>0</v>
      </c>
      <c r="R300" s="33">
        <f t="shared" si="532"/>
        <v>243380</v>
      </c>
      <c r="S300" s="33">
        <f t="shared" si="532"/>
        <v>235808</v>
      </c>
      <c r="T300" s="33">
        <f t="shared" si="532"/>
        <v>7572</v>
      </c>
      <c r="U300" s="33"/>
      <c r="V300" s="33"/>
      <c r="W300" s="33">
        <f t="shared" si="532"/>
        <v>223974</v>
      </c>
      <c r="X300" s="33">
        <f t="shared" si="532"/>
        <v>223174</v>
      </c>
      <c r="Y300" s="33">
        <f t="shared" si="532"/>
        <v>800</v>
      </c>
      <c r="Z300" s="33">
        <f t="shared" si="532"/>
        <v>0</v>
      </c>
      <c r="AA300" s="33">
        <f t="shared" si="532"/>
        <v>2600</v>
      </c>
      <c r="AB300" s="33">
        <f t="shared" si="532"/>
        <v>2600</v>
      </c>
      <c r="AC300" s="33">
        <f t="shared" si="532"/>
        <v>0</v>
      </c>
      <c r="AD300" s="33">
        <f t="shared" si="532"/>
        <v>2600</v>
      </c>
      <c r="AE300" s="33">
        <f t="shared" si="532"/>
        <v>0</v>
      </c>
      <c r="AF300" s="33">
        <f t="shared" si="532"/>
        <v>0</v>
      </c>
      <c r="AG300" s="33">
        <f t="shared" si="532"/>
        <v>0</v>
      </c>
      <c r="AH300" s="33">
        <f t="shared" si="532"/>
        <v>0</v>
      </c>
      <c r="AI300" s="33">
        <f t="shared" si="532"/>
        <v>2600</v>
      </c>
      <c r="AJ300" s="33">
        <f t="shared" si="532"/>
        <v>0</v>
      </c>
    </row>
    <row r="301" spans="1:36" ht="58.9" customHeight="1" x14ac:dyDescent="0.25">
      <c r="A301" s="5">
        <v>1</v>
      </c>
      <c r="B301" s="5" t="s">
        <v>213</v>
      </c>
      <c r="C301" s="9">
        <v>1</v>
      </c>
      <c r="D301" s="9">
        <v>15</v>
      </c>
      <c r="E301" s="9">
        <v>18</v>
      </c>
      <c r="F301" s="9"/>
      <c r="G301" s="9">
        <v>40455</v>
      </c>
      <c r="H301" s="9">
        <v>40455</v>
      </c>
      <c r="I301" s="9"/>
      <c r="J301" s="9"/>
      <c r="K301" s="9"/>
      <c r="L301" s="7">
        <v>2021</v>
      </c>
      <c r="M301" s="9">
        <v>1</v>
      </c>
      <c r="N301" s="4">
        <v>15</v>
      </c>
      <c r="O301" s="4">
        <v>18</v>
      </c>
      <c r="P301" s="13"/>
      <c r="Q301" s="8"/>
      <c r="R301" s="37">
        <f>S301+T301</f>
        <v>53849</v>
      </c>
      <c r="S301" s="9">
        <v>53849</v>
      </c>
      <c r="T301" s="37"/>
      <c r="U301" s="7">
        <v>2024</v>
      </c>
      <c r="V301" s="7">
        <v>2</v>
      </c>
      <c r="W301" s="10">
        <f t="shared" ref="W301:W316" si="533">X301+Y301+Z301</f>
        <v>53849</v>
      </c>
      <c r="X301" s="9">
        <v>53849</v>
      </c>
      <c r="Y301" s="9"/>
      <c r="Z301" s="9"/>
      <c r="AA301" s="10">
        <f>AB301+AC301</f>
        <v>600</v>
      </c>
      <c r="AB301" s="10">
        <v>600</v>
      </c>
      <c r="AC301" s="10">
        <f>Y301</f>
        <v>0</v>
      </c>
      <c r="AD301" s="10">
        <f t="shared" ref="AD301:AD316" si="534">AE301+AF301+AG301+AH301+AI301+AJ301</f>
        <v>600</v>
      </c>
      <c r="AE301" s="10"/>
      <c r="AF301" s="10"/>
      <c r="AG301" s="10"/>
      <c r="AH301" s="10"/>
      <c r="AI301" s="10">
        <f t="shared" ref="AI301:AI316" si="535">AB301</f>
        <v>600</v>
      </c>
      <c r="AJ301" s="10"/>
    </row>
    <row r="302" spans="1:36" ht="51" customHeight="1" x14ac:dyDescent="0.25">
      <c r="A302" s="5">
        <v>2</v>
      </c>
      <c r="B302" s="5" t="s">
        <v>214</v>
      </c>
      <c r="C302" s="9">
        <v>1</v>
      </c>
      <c r="D302" s="9">
        <v>13</v>
      </c>
      <c r="E302" s="9">
        <v>16</v>
      </c>
      <c r="F302" s="9"/>
      <c r="G302" s="9">
        <v>34417</v>
      </c>
      <c r="H302" s="9">
        <v>34417</v>
      </c>
      <c r="I302" s="9"/>
      <c r="J302" s="9"/>
      <c r="K302" s="9"/>
      <c r="L302" s="7">
        <v>2021</v>
      </c>
      <c r="M302" s="9">
        <v>1</v>
      </c>
      <c r="N302" s="4">
        <v>13</v>
      </c>
      <c r="O302" s="4">
        <v>16</v>
      </c>
      <c r="P302" s="13"/>
      <c r="Q302" s="8"/>
      <c r="R302" s="37">
        <f>S302+T302</f>
        <v>48963</v>
      </c>
      <c r="S302" s="38">
        <v>48963</v>
      </c>
      <c r="T302" s="37"/>
      <c r="U302" s="7">
        <v>2024</v>
      </c>
      <c r="V302" s="7">
        <v>2</v>
      </c>
      <c r="W302" s="10">
        <f t="shared" si="533"/>
        <v>48963</v>
      </c>
      <c r="X302" s="9">
        <v>48963</v>
      </c>
      <c r="Y302" s="9"/>
      <c r="Z302" s="9"/>
      <c r="AA302" s="10">
        <f>AB302+AC302</f>
        <v>500</v>
      </c>
      <c r="AB302" s="10">
        <v>500</v>
      </c>
      <c r="AC302" s="10">
        <f>Y302</f>
        <v>0</v>
      </c>
      <c r="AD302" s="10">
        <f t="shared" si="534"/>
        <v>500</v>
      </c>
      <c r="AE302" s="10"/>
      <c r="AF302" s="10"/>
      <c r="AG302" s="10"/>
      <c r="AH302" s="10"/>
      <c r="AI302" s="10">
        <f t="shared" si="535"/>
        <v>500</v>
      </c>
      <c r="AJ302" s="10"/>
    </row>
    <row r="303" spans="1:36" ht="42.6" customHeight="1" x14ac:dyDescent="0.25">
      <c r="A303" s="5">
        <v>3</v>
      </c>
      <c r="B303" s="5" t="s">
        <v>216</v>
      </c>
      <c r="C303" s="9">
        <v>1</v>
      </c>
      <c r="D303" s="9">
        <v>11</v>
      </c>
      <c r="E303" s="9">
        <v>6</v>
      </c>
      <c r="F303" s="9"/>
      <c r="G303" s="9">
        <f>H303+I303+J303+K303</f>
        <v>24983</v>
      </c>
      <c r="H303" s="9">
        <v>24983</v>
      </c>
      <c r="I303" s="9"/>
      <c r="J303" s="9"/>
      <c r="K303" s="9"/>
      <c r="L303" s="7">
        <v>2022</v>
      </c>
      <c r="M303" s="9">
        <v>1</v>
      </c>
      <c r="N303" s="4">
        <v>18</v>
      </c>
      <c r="O303" s="4">
        <v>8</v>
      </c>
      <c r="P303" s="30"/>
      <c r="Q303" s="8"/>
      <c r="R303" s="37">
        <f>S303+T303</f>
        <v>44566</v>
      </c>
      <c r="S303" s="38">
        <v>44566</v>
      </c>
      <c r="T303" s="37"/>
      <c r="U303" s="7">
        <v>2024</v>
      </c>
      <c r="V303" s="7">
        <v>2</v>
      </c>
      <c r="W303" s="10">
        <f t="shared" si="533"/>
        <v>33228</v>
      </c>
      <c r="X303" s="9">
        <v>33228</v>
      </c>
      <c r="Y303" s="9"/>
      <c r="Z303" s="9"/>
      <c r="AA303" s="10">
        <f>AB303+AC303</f>
        <v>500</v>
      </c>
      <c r="AB303" s="10">
        <v>500</v>
      </c>
      <c r="AC303" s="10">
        <f>Y303</f>
        <v>0</v>
      </c>
      <c r="AD303" s="10">
        <f t="shared" si="534"/>
        <v>500</v>
      </c>
      <c r="AE303" s="10"/>
      <c r="AF303" s="10"/>
      <c r="AG303" s="10"/>
      <c r="AH303" s="10"/>
      <c r="AI303" s="10">
        <f t="shared" si="535"/>
        <v>500</v>
      </c>
      <c r="AJ303" s="10"/>
    </row>
    <row r="304" spans="1:36" ht="49.15" customHeight="1" x14ac:dyDescent="0.25">
      <c r="A304" s="5">
        <v>4</v>
      </c>
      <c r="B304" s="5" t="s">
        <v>220</v>
      </c>
      <c r="C304" s="9">
        <v>1</v>
      </c>
      <c r="D304" s="9">
        <v>5</v>
      </c>
      <c r="E304" s="9">
        <v>15</v>
      </c>
      <c r="F304" s="9"/>
      <c r="G304" s="9">
        <v>18982</v>
      </c>
      <c r="H304" s="9"/>
      <c r="I304" s="9"/>
      <c r="J304" s="9">
        <v>1200</v>
      </c>
      <c r="K304" s="9">
        <v>17782</v>
      </c>
      <c r="L304" s="7">
        <v>2024</v>
      </c>
      <c r="M304" s="9">
        <v>1</v>
      </c>
      <c r="N304" s="4">
        <v>10</v>
      </c>
      <c r="O304" s="4">
        <v>15</v>
      </c>
      <c r="P304" s="13"/>
      <c r="Q304" s="8"/>
      <c r="R304" s="37">
        <f>S304+T304</f>
        <v>43967</v>
      </c>
      <c r="S304" s="38">
        <v>43967</v>
      </c>
      <c r="T304" s="37"/>
      <c r="U304" s="7">
        <v>2024</v>
      </c>
      <c r="V304" s="4">
        <v>2</v>
      </c>
      <c r="W304" s="10">
        <f t="shared" si="533"/>
        <v>43967</v>
      </c>
      <c r="X304" s="9">
        <v>43967</v>
      </c>
      <c r="Y304" s="9"/>
      <c r="Z304" s="9"/>
      <c r="AA304" s="10">
        <f>AB304+AC304</f>
        <v>500</v>
      </c>
      <c r="AB304" s="10">
        <v>500</v>
      </c>
      <c r="AC304" s="10">
        <f>Y304</f>
        <v>0</v>
      </c>
      <c r="AD304" s="10">
        <f t="shared" si="534"/>
        <v>500</v>
      </c>
      <c r="AE304" s="10"/>
      <c r="AF304" s="10"/>
      <c r="AG304" s="10"/>
      <c r="AH304" s="10"/>
      <c r="AI304" s="10">
        <f t="shared" si="535"/>
        <v>500</v>
      </c>
      <c r="AJ304" s="10"/>
    </row>
    <row r="305" spans="1:36" ht="55.9" customHeight="1" x14ac:dyDescent="0.25">
      <c r="A305" s="5">
        <v>5</v>
      </c>
      <c r="B305" s="5" t="s">
        <v>217</v>
      </c>
      <c r="C305" s="9">
        <v>1</v>
      </c>
      <c r="D305" s="9">
        <v>4</v>
      </c>
      <c r="E305" s="9">
        <v>1</v>
      </c>
      <c r="F305" s="9"/>
      <c r="G305" s="9">
        <f>H305+I305+J305+K305</f>
        <v>9242</v>
      </c>
      <c r="H305" s="9"/>
      <c r="I305" s="9"/>
      <c r="J305" s="9"/>
      <c r="K305" s="9">
        <v>9242</v>
      </c>
      <c r="L305" s="7">
        <v>2023</v>
      </c>
      <c r="M305" s="9">
        <v>1</v>
      </c>
      <c r="N305" s="4">
        <v>10</v>
      </c>
      <c r="O305" s="4">
        <v>15</v>
      </c>
      <c r="P305" s="13"/>
      <c r="Q305" s="8"/>
      <c r="R305" s="37">
        <f>S305+T305</f>
        <v>52035</v>
      </c>
      <c r="S305" s="38">
        <v>44463</v>
      </c>
      <c r="T305" s="37">
        <v>7572</v>
      </c>
      <c r="U305" s="7">
        <v>2024</v>
      </c>
      <c r="V305" s="4">
        <v>2</v>
      </c>
      <c r="W305" s="10">
        <f t="shared" si="533"/>
        <v>43967</v>
      </c>
      <c r="X305" s="9">
        <f>43967-Y305</f>
        <v>43167</v>
      </c>
      <c r="Y305" s="9">
        <v>800</v>
      </c>
      <c r="Z305" s="9"/>
      <c r="AA305" s="10">
        <f>AB305+AC305</f>
        <v>500</v>
      </c>
      <c r="AB305" s="10">
        <v>500</v>
      </c>
      <c r="AC305" s="10"/>
      <c r="AD305" s="10">
        <f t="shared" si="534"/>
        <v>500</v>
      </c>
      <c r="AE305" s="10"/>
      <c r="AF305" s="10"/>
      <c r="AG305" s="10"/>
      <c r="AH305" s="10"/>
      <c r="AI305" s="10">
        <f t="shared" si="535"/>
        <v>500</v>
      </c>
      <c r="AJ305" s="10"/>
    </row>
    <row r="306" spans="1:36" ht="37.9" customHeight="1" x14ac:dyDescent="0.25">
      <c r="A306" s="47"/>
      <c r="B306" s="47" t="s">
        <v>37</v>
      </c>
      <c r="C306" s="33">
        <f>SUM(C307:C316)</f>
        <v>6</v>
      </c>
      <c r="D306" s="33">
        <f t="shared" ref="D306:AJ306" si="536">SUM(D307:D316)</f>
        <v>38</v>
      </c>
      <c r="E306" s="33">
        <f t="shared" si="536"/>
        <v>110</v>
      </c>
      <c r="F306" s="33">
        <f t="shared" si="536"/>
        <v>0</v>
      </c>
      <c r="G306" s="33">
        <f t="shared" si="536"/>
        <v>96734</v>
      </c>
      <c r="H306" s="33">
        <f t="shared" si="536"/>
        <v>69427</v>
      </c>
      <c r="I306" s="33">
        <f t="shared" si="536"/>
        <v>0</v>
      </c>
      <c r="J306" s="33">
        <f t="shared" si="536"/>
        <v>0</v>
      </c>
      <c r="K306" s="33">
        <f t="shared" si="536"/>
        <v>27307</v>
      </c>
      <c r="L306" s="33"/>
      <c r="M306" s="33">
        <f t="shared" si="536"/>
        <v>6</v>
      </c>
      <c r="N306" s="33">
        <f t="shared" si="536"/>
        <v>40</v>
      </c>
      <c r="O306" s="33">
        <f t="shared" si="536"/>
        <v>109</v>
      </c>
      <c r="P306" s="33"/>
      <c r="Q306" s="33">
        <f t="shared" si="536"/>
        <v>0</v>
      </c>
      <c r="R306" s="33">
        <f t="shared" si="536"/>
        <v>319709</v>
      </c>
      <c r="S306" s="33">
        <f t="shared" si="536"/>
        <v>164917</v>
      </c>
      <c r="T306" s="33">
        <f t="shared" si="536"/>
        <v>154792</v>
      </c>
      <c r="U306" s="33"/>
      <c r="V306" s="33"/>
      <c r="W306" s="33">
        <f t="shared" si="536"/>
        <v>154792</v>
      </c>
      <c r="X306" s="33">
        <f t="shared" si="536"/>
        <v>154792</v>
      </c>
      <c r="Y306" s="33">
        <f t="shared" si="536"/>
        <v>0</v>
      </c>
      <c r="Z306" s="33">
        <f t="shared" si="536"/>
        <v>0</v>
      </c>
      <c r="AA306" s="33">
        <f t="shared" si="536"/>
        <v>2500</v>
      </c>
      <c r="AB306" s="33">
        <f t="shared" si="536"/>
        <v>2500</v>
      </c>
      <c r="AC306" s="33">
        <f t="shared" si="536"/>
        <v>0</v>
      </c>
      <c r="AD306" s="33">
        <f t="shared" si="536"/>
        <v>2500</v>
      </c>
      <c r="AE306" s="33">
        <f t="shared" si="536"/>
        <v>0</v>
      </c>
      <c r="AF306" s="33">
        <f t="shared" si="536"/>
        <v>0</v>
      </c>
      <c r="AG306" s="33">
        <f t="shared" si="536"/>
        <v>0</v>
      </c>
      <c r="AH306" s="33">
        <f t="shared" si="536"/>
        <v>0</v>
      </c>
      <c r="AI306" s="33">
        <f t="shared" si="536"/>
        <v>2500</v>
      </c>
      <c r="AJ306" s="33">
        <f t="shared" si="536"/>
        <v>0</v>
      </c>
    </row>
    <row r="307" spans="1:36" ht="48" customHeight="1" x14ac:dyDescent="0.25">
      <c r="A307" s="5">
        <v>1</v>
      </c>
      <c r="B307" s="5" t="s">
        <v>225</v>
      </c>
      <c r="C307" s="9">
        <v>1</v>
      </c>
      <c r="D307" s="9"/>
      <c r="E307" s="9"/>
      <c r="F307" s="9"/>
      <c r="G307" s="9">
        <f t="shared" ref="G307:G316" si="537">H307+I307+J307+K307</f>
        <v>0</v>
      </c>
      <c r="H307" s="9"/>
      <c r="I307" s="9"/>
      <c r="J307" s="9"/>
      <c r="K307" s="9"/>
      <c r="L307" s="7">
        <v>2022</v>
      </c>
      <c r="M307" s="9">
        <v>1</v>
      </c>
      <c r="N307" s="4"/>
      <c r="O307" s="4"/>
      <c r="P307" s="39"/>
      <c r="Q307" s="8"/>
      <c r="R307" s="37">
        <f t="shared" ref="R307:R316" si="538">S307+T307</f>
        <v>0</v>
      </c>
      <c r="S307" s="9"/>
      <c r="T307" s="9"/>
      <c r="U307" s="7"/>
      <c r="V307" s="7"/>
      <c r="W307" s="10">
        <f t="shared" si="533"/>
        <v>0</v>
      </c>
      <c r="X307" s="9"/>
      <c r="Y307" s="9"/>
      <c r="Z307" s="9"/>
      <c r="AA307" s="10">
        <f>AB307+AC307</f>
        <v>0</v>
      </c>
      <c r="AB307" s="10">
        <f>X307</f>
        <v>0</v>
      </c>
      <c r="AC307" s="10">
        <f>Y307</f>
        <v>0</v>
      </c>
      <c r="AD307" s="10">
        <f t="shared" si="534"/>
        <v>0</v>
      </c>
      <c r="AE307" s="10"/>
      <c r="AF307" s="10"/>
      <c r="AG307" s="10"/>
      <c r="AH307" s="10"/>
      <c r="AI307" s="10">
        <f t="shared" si="535"/>
        <v>0</v>
      </c>
      <c r="AJ307" s="10"/>
    </row>
    <row r="308" spans="1:36" ht="37.9" customHeight="1" x14ac:dyDescent="0.25">
      <c r="A308" s="5"/>
      <c r="B308" s="5" t="s">
        <v>134</v>
      </c>
      <c r="C308" s="9"/>
      <c r="D308" s="9">
        <v>0</v>
      </c>
      <c r="E308" s="9">
        <v>18</v>
      </c>
      <c r="F308" s="9"/>
      <c r="G308" s="9">
        <f t="shared" si="537"/>
        <v>11736</v>
      </c>
      <c r="H308" s="9">
        <v>11736</v>
      </c>
      <c r="I308" s="9"/>
      <c r="J308" s="9"/>
      <c r="K308" s="9"/>
      <c r="L308" s="9"/>
      <c r="M308" s="9"/>
      <c r="N308" s="4">
        <v>5</v>
      </c>
      <c r="O308" s="4">
        <v>18</v>
      </c>
      <c r="P308" s="8"/>
      <c r="Q308" s="8"/>
      <c r="R308" s="37">
        <f t="shared" si="538"/>
        <v>48457</v>
      </c>
      <c r="S308" s="9">
        <f>T308+U308+V308</f>
        <v>25241</v>
      </c>
      <c r="T308" s="9">
        <v>23216</v>
      </c>
      <c r="U308" s="7">
        <v>2024</v>
      </c>
      <c r="V308" s="4">
        <v>1</v>
      </c>
      <c r="W308" s="10">
        <f t="shared" si="533"/>
        <v>23216</v>
      </c>
      <c r="X308" s="9">
        <v>23216</v>
      </c>
      <c r="Y308" s="9"/>
      <c r="Z308" s="9"/>
      <c r="AA308" s="10">
        <f>AB308+AC308</f>
        <v>400</v>
      </c>
      <c r="AB308" s="10">
        <v>400</v>
      </c>
      <c r="AC308" s="10">
        <f t="shared" ref="AC308:AC316" si="539">Y308</f>
        <v>0</v>
      </c>
      <c r="AD308" s="10">
        <f t="shared" si="534"/>
        <v>400</v>
      </c>
      <c r="AE308" s="10"/>
      <c r="AF308" s="10"/>
      <c r="AG308" s="10"/>
      <c r="AH308" s="10"/>
      <c r="AI308" s="10">
        <f t="shared" si="535"/>
        <v>400</v>
      </c>
      <c r="AJ308" s="10"/>
    </row>
    <row r="309" spans="1:36" ht="40.15" customHeight="1" x14ac:dyDescent="0.25">
      <c r="A309" s="5"/>
      <c r="B309" s="5" t="s">
        <v>150</v>
      </c>
      <c r="C309" s="9"/>
      <c r="D309" s="9">
        <v>5</v>
      </c>
      <c r="E309" s="9">
        <v>0</v>
      </c>
      <c r="F309" s="9"/>
      <c r="G309" s="9">
        <f t="shared" si="537"/>
        <v>3548</v>
      </c>
      <c r="H309" s="9">
        <v>3548</v>
      </c>
      <c r="I309" s="9"/>
      <c r="J309" s="9"/>
      <c r="K309" s="9"/>
      <c r="L309" s="9"/>
      <c r="M309" s="9"/>
      <c r="N309" s="4">
        <v>0</v>
      </c>
      <c r="O309" s="4">
        <v>0</v>
      </c>
      <c r="P309" s="39"/>
      <c r="Q309" s="8"/>
      <c r="R309" s="37">
        <f t="shared" si="538"/>
        <v>0</v>
      </c>
      <c r="S309" s="9">
        <f>T309+U309+V309</f>
        <v>0</v>
      </c>
      <c r="T309" s="9"/>
      <c r="U309" s="5"/>
      <c r="V309" s="4"/>
      <c r="W309" s="10">
        <f t="shared" si="533"/>
        <v>0</v>
      </c>
      <c r="X309" s="9"/>
      <c r="Y309" s="9"/>
      <c r="Z309" s="9"/>
      <c r="AA309" s="10">
        <f>AB309+AC309</f>
        <v>0</v>
      </c>
      <c r="AB309" s="10">
        <f>X309</f>
        <v>0</v>
      </c>
      <c r="AC309" s="10">
        <f t="shared" si="539"/>
        <v>0</v>
      </c>
      <c r="AD309" s="10">
        <f t="shared" si="534"/>
        <v>0</v>
      </c>
      <c r="AE309" s="10"/>
      <c r="AF309" s="10"/>
      <c r="AG309" s="10"/>
      <c r="AH309" s="10"/>
      <c r="AI309" s="10">
        <f t="shared" si="535"/>
        <v>0</v>
      </c>
      <c r="AJ309" s="10"/>
    </row>
    <row r="310" spans="1:36" ht="45.6" customHeight="1" x14ac:dyDescent="0.25">
      <c r="A310" s="5">
        <v>2</v>
      </c>
      <c r="B310" s="5" t="s">
        <v>228</v>
      </c>
      <c r="C310" s="9">
        <v>1</v>
      </c>
      <c r="D310" s="9">
        <v>10</v>
      </c>
      <c r="E310" s="9">
        <v>14</v>
      </c>
      <c r="F310" s="9"/>
      <c r="G310" s="9">
        <f t="shared" si="537"/>
        <v>16153</v>
      </c>
      <c r="H310" s="9">
        <v>16153</v>
      </c>
      <c r="I310" s="9"/>
      <c r="J310" s="9"/>
      <c r="K310" s="9"/>
      <c r="L310" s="7">
        <v>2022</v>
      </c>
      <c r="M310" s="9">
        <v>1</v>
      </c>
      <c r="N310" s="4">
        <v>12</v>
      </c>
      <c r="O310" s="4">
        <v>14</v>
      </c>
      <c r="P310" s="8"/>
      <c r="Q310" s="8"/>
      <c r="R310" s="37">
        <f t="shared" si="538"/>
        <v>49381</v>
      </c>
      <c r="S310" s="9">
        <f>T310+U310+V310</f>
        <v>25703</v>
      </c>
      <c r="T310" s="9">
        <v>23678</v>
      </c>
      <c r="U310" s="7">
        <v>2024</v>
      </c>
      <c r="V310" s="7">
        <v>1</v>
      </c>
      <c r="W310" s="10">
        <f t="shared" si="533"/>
        <v>23678</v>
      </c>
      <c r="X310" s="9">
        <v>23678</v>
      </c>
      <c r="Y310" s="9"/>
      <c r="Z310" s="9"/>
      <c r="AA310" s="10">
        <f>AB310+AC310</f>
        <v>400</v>
      </c>
      <c r="AB310" s="10">
        <v>400</v>
      </c>
      <c r="AC310" s="10">
        <f t="shared" si="539"/>
        <v>0</v>
      </c>
      <c r="AD310" s="10">
        <f t="shared" si="534"/>
        <v>400</v>
      </c>
      <c r="AE310" s="10"/>
      <c r="AF310" s="10"/>
      <c r="AG310" s="10"/>
      <c r="AH310" s="10"/>
      <c r="AI310" s="10">
        <f t="shared" si="535"/>
        <v>400</v>
      </c>
      <c r="AJ310" s="10"/>
    </row>
    <row r="311" spans="1:36" ht="54.6" customHeight="1" x14ac:dyDescent="0.25">
      <c r="A311" s="5">
        <v>3</v>
      </c>
      <c r="B311" s="5" t="s">
        <v>221</v>
      </c>
      <c r="C311" s="9"/>
      <c r="D311" s="9"/>
      <c r="E311" s="9"/>
      <c r="F311" s="9"/>
      <c r="G311" s="9">
        <f t="shared" si="537"/>
        <v>0</v>
      </c>
      <c r="H311" s="9"/>
      <c r="I311" s="9"/>
      <c r="J311" s="9"/>
      <c r="K311" s="9"/>
      <c r="L311" s="9"/>
      <c r="M311" s="9"/>
      <c r="N311" s="4"/>
      <c r="O311" s="4"/>
      <c r="P311" s="8"/>
      <c r="Q311" s="8"/>
      <c r="R311" s="37">
        <f t="shared" si="538"/>
        <v>0</v>
      </c>
      <c r="S311" s="9"/>
      <c r="T311" s="9"/>
      <c r="U311" s="7"/>
      <c r="V311" s="7"/>
      <c r="W311" s="10">
        <f t="shared" si="533"/>
        <v>0</v>
      </c>
      <c r="X311" s="9"/>
      <c r="Y311" s="9"/>
      <c r="Z311" s="9"/>
      <c r="AA311" s="10">
        <f t="shared" ref="AA311:AA316" si="540">AB311+AC311</f>
        <v>0</v>
      </c>
      <c r="AB311" s="10">
        <f>X311</f>
        <v>0</v>
      </c>
      <c r="AC311" s="10">
        <f t="shared" si="539"/>
        <v>0</v>
      </c>
      <c r="AD311" s="10">
        <f t="shared" si="534"/>
        <v>0</v>
      </c>
      <c r="AE311" s="10"/>
      <c r="AF311" s="10"/>
      <c r="AG311" s="10"/>
      <c r="AH311" s="10"/>
      <c r="AI311" s="10">
        <f t="shared" si="535"/>
        <v>0</v>
      </c>
      <c r="AJ311" s="10"/>
    </row>
    <row r="312" spans="1:36" ht="46.9" customHeight="1" x14ac:dyDescent="0.25">
      <c r="A312" s="5"/>
      <c r="B312" s="5" t="s">
        <v>134</v>
      </c>
      <c r="C312" s="9">
        <v>1</v>
      </c>
      <c r="D312" s="9">
        <v>0</v>
      </c>
      <c r="E312" s="9">
        <v>20</v>
      </c>
      <c r="F312" s="9"/>
      <c r="G312" s="9">
        <f t="shared" si="537"/>
        <v>12102</v>
      </c>
      <c r="H312" s="9">
        <v>12102</v>
      </c>
      <c r="I312" s="9"/>
      <c r="J312" s="9"/>
      <c r="K312" s="9"/>
      <c r="L312" s="9"/>
      <c r="M312" s="9">
        <v>1</v>
      </c>
      <c r="N312" s="4">
        <v>10</v>
      </c>
      <c r="O312" s="4">
        <v>20</v>
      </c>
      <c r="P312" s="8"/>
      <c r="Q312" s="8"/>
      <c r="R312" s="37">
        <f t="shared" si="538"/>
        <v>69555</v>
      </c>
      <c r="S312" s="9">
        <f>T312+U312+V312</f>
        <v>35790</v>
      </c>
      <c r="T312" s="9">
        <v>33765</v>
      </c>
      <c r="U312" s="71">
        <v>2024</v>
      </c>
      <c r="V312" s="4">
        <v>1</v>
      </c>
      <c r="W312" s="10">
        <f t="shared" si="533"/>
        <v>33765</v>
      </c>
      <c r="X312" s="9">
        <v>33765</v>
      </c>
      <c r="Y312" s="9"/>
      <c r="Z312" s="9"/>
      <c r="AA312" s="10">
        <f t="shared" si="540"/>
        <v>500</v>
      </c>
      <c r="AB312" s="10">
        <v>500</v>
      </c>
      <c r="AC312" s="10">
        <f t="shared" si="539"/>
        <v>0</v>
      </c>
      <c r="AD312" s="10">
        <f t="shared" si="534"/>
        <v>500</v>
      </c>
      <c r="AE312" s="10"/>
      <c r="AF312" s="10"/>
      <c r="AG312" s="10"/>
      <c r="AH312" s="10"/>
      <c r="AI312" s="10">
        <f t="shared" si="535"/>
        <v>500</v>
      </c>
      <c r="AJ312" s="10"/>
    </row>
    <row r="313" spans="1:36" ht="45.6" customHeight="1" x14ac:dyDescent="0.25">
      <c r="A313" s="5"/>
      <c r="B313" s="5" t="s">
        <v>150</v>
      </c>
      <c r="C313" s="9"/>
      <c r="D313" s="9">
        <v>10</v>
      </c>
      <c r="E313" s="9">
        <v>0</v>
      </c>
      <c r="F313" s="9"/>
      <c r="G313" s="9">
        <f t="shared" si="537"/>
        <v>7136</v>
      </c>
      <c r="H313" s="9">
        <v>7136</v>
      </c>
      <c r="I313" s="9"/>
      <c r="J313" s="9"/>
      <c r="K313" s="9"/>
      <c r="L313" s="9"/>
      <c r="M313" s="9"/>
      <c r="N313" s="4"/>
      <c r="O313" s="4"/>
      <c r="P313" s="39"/>
      <c r="Q313" s="8"/>
      <c r="R313" s="37">
        <f t="shared" si="538"/>
        <v>0</v>
      </c>
      <c r="S313" s="9">
        <f>T313+U313+V313</f>
        <v>0</v>
      </c>
      <c r="T313" s="9"/>
      <c r="U313" s="5"/>
      <c r="V313" s="4"/>
      <c r="W313" s="10">
        <f t="shared" si="533"/>
        <v>0</v>
      </c>
      <c r="X313" s="9"/>
      <c r="Y313" s="9"/>
      <c r="Z313" s="9"/>
      <c r="AA313" s="10">
        <f t="shared" si="540"/>
        <v>0</v>
      </c>
      <c r="AB313" s="10">
        <f>X313</f>
        <v>0</v>
      </c>
      <c r="AC313" s="10">
        <f t="shared" si="539"/>
        <v>0</v>
      </c>
      <c r="AD313" s="10">
        <f t="shared" si="534"/>
        <v>0</v>
      </c>
      <c r="AE313" s="10"/>
      <c r="AF313" s="10"/>
      <c r="AG313" s="10"/>
      <c r="AH313" s="10"/>
      <c r="AI313" s="10">
        <f t="shared" si="535"/>
        <v>0</v>
      </c>
      <c r="AJ313" s="10"/>
    </row>
    <row r="314" spans="1:36" ht="54.6" customHeight="1" x14ac:dyDescent="0.25">
      <c r="A314" s="5">
        <v>4</v>
      </c>
      <c r="B314" s="5" t="s">
        <v>227</v>
      </c>
      <c r="C314" s="9">
        <v>1</v>
      </c>
      <c r="D314" s="9">
        <v>4</v>
      </c>
      <c r="E314" s="9">
        <v>20</v>
      </c>
      <c r="F314" s="9"/>
      <c r="G314" s="9">
        <f t="shared" si="537"/>
        <v>15388</v>
      </c>
      <c r="H314" s="9"/>
      <c r="I314" s="9"/>
      <c r="J314" s="9"/>
      <c r="K314" s="9">
        <v>15388</v>
      </c>
      <c r="L314" s="9"/>
      <c r="M314" s="9">
        <v>1</v>
      </c>
      <c r="N314" s="4">
        <v>4</v>
      </c>
      <c r="O314" s="4">
        <v>19</v>
      </c>
      <c r="P314" s="8"/>
      <c r="Q314" s="8"/>
      <c r="R314" s="37">
        <f t="shared" si="538"/>
        <v>51511</v>
      </c>
      <c r="S314" s="9">
        <f>T314+U314+V314</f>
        <v>26768</v>
      </c>
      <c r="T314" s="9">
        <v>24743</v>
      </c>
      <c r="U314" s="71">
        <v>2024</v>
      </c>
      <c r="V314" s="4">
        <v>1</v>
      </c>
      <c r="W314" s="10">
        <f t="shared" si="533"/>
        <v>24743</v>
      </c>
      <c r="X314" s="9">
        <v>24743</v>
      </c>
      <c r="Y314" s="9"/>
      <c r="Z314" s="9"/>
      <c r="AA314" s="10">
        <f t="shared" si="540"/>
        <v>400</v>
      </c>
      <c r="AB314" s="10">
        <v>400</v>
      </c>
      <c r="AC314" s="10">
        <f t="shared" si="539"/>
        <v>0</v>
      </c>
      <c r="AD314" s="10">
        <f t="shared" si="534"/>
        <v>400</v>
      </c>
      <c r="AE314" s="10"/>
      <c r="AF314" s="10"/>
      <c r="AG314" s="10"/>
      <c r="AH314" s="10"/>
      <c r="AI314" s="10">
        <f t="shared" si="535"/>
        <v>400</v>
      </c>
      <c r="AJ314" s="10"/>
    </row>
    <row r="315" spans="1:36" ht="54.6" customHeight="1" x14ac:dyDescent="0.25">
      <c r="A315" s="5">
        <v>5</v>
      </c>
      <c r="B315" s="5" t="s">
        <v>230</v>
      </c>
      <c r="C315" s="9">
        <v>1</v>
      </c>
      <c r="D315" s="9">
        <v>0</v>
      </c>
      <c r="E315" s="9">
        <v>19</v>
      </c>
      <c r="F315" s="9"/>
      <c r="G315" s="9">
        <f t="shared" si="537"/>
        <v>11919</v>
      </c>
      <c r="H315" s="9"/>
      <c r="I315" s="9"/>
      <c r="J315" s="9"/>
      <c r="K315" s="9">
        <v>11919</v>
      </c>
      <c r="L315" s="9"/>
      <c r="M315" s="9">
        <v>1</v>
      </c>
      <c r="N315" s="4">
        <v>0</v>
      </c>
      <c r="O315" s="4">
        <v>19</v>
      </c>
      <c r="P315" s="8"/>
      <c r="Q315" s="8"/>
      <c r="R315" s="37">
        <f t="shared" si="538"/>
        <v>42615</v>
      </c>
      <c r="S315" s="9">
        <f>T315+U315+V315</f>
        <v>22320</v>
      </c>
      <c r="T315" s="9">
        <v>20295</v>
      </c>
      <c r="U315" s="71">
        <v>2024</v>
      </c>
      <c r="V315" s="4">
        <v>1</v>
      </c>
      <c r="W315" s="10">
        <f t="shared" si="533"/>
        <v>20295</v>
      </c>
      <c r="X315" s="9">
        <v>20295</v>
      </c>
      <c r="Y315" s="9"/>
      <c r="Z315" s="9"/>
      <c r="AA315" s="10">
        <f t="shared" si="540"/>
        <v>400</v>
      </c>
      <c r="AB315" s="10">
        <v>400</v>
      </c>
      <c r="AC315" s="10">
        <f t="shared" si="539"/>
        <v>0</v>
      </c>
      <c r="AD315" s="10">
        <f t="shared" si="534"/>
        <v>400</v>
      </c>
      <c r="AE315" s="10"/>
      <c r="AF315" s="10"/>
      <c r="AG315" s="10"/>
      <c r="AH315" s="10"/>
      <c r="AI315" s="10">
        <f t="shared" si="535"/>
        <v>400</v>
      </c>
      <c r="AJ315" s="10"/>
    </row>
    <row r="316" spans="1:36" ht="54.6" customHeight="1" x14ac:dyDescent="0.25">
      <c r="A316" s="5">
        <v>6</v>
      </c>
      <c r="B316" s="5" t="s">
        <v>226</v>
      </c>
      <c r="C316" s="9">
        <v>1</v>
      </c>
      <c r="D316" s="9">
        <v>9</v>
      </c>
      <c r="E316" s="9">
        <v>19</v>
      </c>
      <c r="F316" s="9"/>
      <c r="G316" s="9">
        <f t="shared" si="537"/>
        <v>18752</v>
      </c>
      <c r="H316" s="9">
        <v>18752</v>
      </c>
      <c r="I316" s="9"/>
      <c r="J316" s="9"/>
      <c r="K316" s="9"/>
      <c r="L316" s="9"/>
      <c r="M316" s="9">
        <v>1</v>
      </c>
      <c r="N316" s="4">
        <v>9</v>
      </c>
      <c r="O316" s="4">
        <v>19</v>
      </c>
      <c r="P316" s="8"/>
      <c r="Q316" s="8"/>
      <c r="R316" s="37">
        <f t="shared" si="538"/>
        <v>58190</v>
      </c>
      <c r="S316" s="9">
        <v>29095</v>
      </c>
      <c r="T316" s="9">
        <v>29095</v>
      </c>
      <c r="U316" s="71">
        <v>2025</v>
      </c>
      <c r="V316" s="4">
        <v>1</v>
      </c>
      <c r="W316" s="10">
        <f t="shared" si="533"/>
        <v>29095</v>
      </c>
      <c r="X316" s="9">
        <v>29095</v>
      </c>
      <c r="Y316" s="9"/>
      <c r="Z316" s="9"/>
      <c r="AA316" s="10">
        <f t="shared" si="540"/>
        <v>400</v>
      </c>
      <c r="AB316" s="10">
        <v>400</v>
      </c>
      <c r="AC316" s="10">
        <f t="shared" si="539"/>
        <v>0</v>
      </c>
      <c r="AD316" s="10">
        <f t="shared" si="534"/>
        <v>400</v>
      </c>
      <c r="AE316" s="10"/>
      <c r="AF316" s="10"/>
      <c r="AG316" s="10"/>
      <c r="AH316" s="10"/>
      <c r="AI316" s="10">
        <f t="shared" si="535"/>
        <v>400</v>
      </c>
      <c r="AJ316" s="10"/>
    </row>
    <row r="317" spans="1:36" ht="44.45" customHeight="1" x14ac:dyDescent="0.25">
      <c r="A317" s="11" t="s">
        <v>126</v>
      </c>
      <c r="B317" s="47" t="s">
        <v>167</v>
      </c>
      <c r="C317" s="49">
        <f>C318+C324</f>
        <v>5</v>
      </c>
      <c r="D317" s="49">
        <f t="shared" ref="D317:AJ317" si="541">D318+D324</f>
        <v>37</v>
      </c>
      <c r="E317" s="49">
        <f t="shared" si="541"/>
        <v>48</v>
      </c>
      <c r="F317" s="49">
        <f t="shared" si="541"/>
        <v>0</v>
      </c>
      <c r="G317" s="49">
        <f t="shared" si="541"/>
        <v>70135</v>
      </c>
      <c r="H317" s="49">
        <f t="shared" si="541"/>
        <v>0</v>
      </c>
      <c r="I317" s="49">
        <f t="shared" si="541"/>
        <v>0</v>
      </c>
      <c r="J317" s="49">
        <f t="shared" si="541"/>
        <v>5040</v>
      </c>
      <c r="K317" s="49">
        <f t="shared" si="541"/>
        <v>65095</v>
      </c>
      <c r="L317" s="49">
        <f t="shared" si="541"/>
        <v>0</v>
      </c>
      <c r="M317" s="49">
        <f t="shared" si="541"/>
        <v>5</v>
      </c>
      <c r="N317" s="49">
        <f t="shared" si="541"/>
        <v>37</v>
      </c>
      <c r="O317" s="49">
        <f t="shared" si="541"/>
        <v>51</v>
      </c>
      <c r="P317" s="49"/>
      <c r="Q317" s="49">
        <f t="shared" si="541"/>
        <v>0</v>
      </c>
      <c r="R317" s="49">
        <f t="shared" si="541"/>
        <v>91199</v>
      </c>
      <c r="S317" s="49">
        <f t="shared" si="541"/>
        <v>81899</v>
      </c>
      <c r="T317" s="49">
        <f t="shared" si="541"/>
        <v>9300</v>
      </c>
      <c r="U317" s="49">
        <f t="shared" si="541"/>
        <v>0</v>
      </c>
      <c r="V317" s="49">
        <f t="shared" si="541"/>
        <v>0</v>
      </c>
      <c r="W317" s="49">
        <f t="shared" si="541"/>
        <v>91199</v>
      </c>
      <c r="X317" s="49">
        <f t="shared" si="541"/>
        <v>81899</v>
      </c>
      <c r="Y317" s="49">
        <f t="shared" si="541"/>
        <v>9300</v>
      </c>
      <c r="Z317" s="49">
        <f t="shared" si="541"/>
        <v>0</v>
      </c>
      <c r="AA317" s="49">
        <f t="shared" si="541"/>
        <v>1400</v>
      </c>
      <c r="AB317" s="49">
        <f t="shared" si="541"/>
        <v>1400</v>
      </c>
      <c r="AC317" s="49">
        <f t="shared" si="541"/>
        <v>0</v>
      </c>
      <c r="AD317" s="49">
        <f t="shared" si="541"/>
        <v>1400</v>
      </c>
      <c r="AE317" s="49">
        <f t="shared" si="541"/>
        <v>0</v>
      </c>
      <c r="AF317" s="49">
        <f t="shared" si="541"/>
        <v>0</v>
      </c>
      <c r="AG317" s="49">
        <f t="shared" si="541"/>
        <v>0</v>
      </c>
      <c r="AH317" s="49">
        <f t="shared" si="541"/>
        <v>0</v>
      </c>
      <c r="AI317" s="49">
        <f t="shared" si="541"/>
        <v>1400</v>
      </c>
      <c r="AJ317" s="49">
        <f t="shared" si="541"/>
        <v>0</v>
      </c>
    </row>
    <row r="318" spans="1:36" ht="42.6" customHeight="1" x14ac:dyDescent="0.25">
      <c r="A318" s="22"/>
      <c r="B318" s="27" t="s">
        <v>237</v>
      </c>
      <c r="C318" s="56">
        <f>SUM(C319:C323)</f>
        <v>4</v>
      </c>
      <c r="D318" s="56">
        <f t="shared" ref="D318:AJ318" si="542">SUM(D319:D323)</f>
        <v>23</v>
      </c>
      <c r="E318" s="56">
        <f t="shared" si="542"/>
        <v>24</v>
      </c>
      <c r="F318" s="56">
        <f t="shared" si="542"/>
        <v>0</v>
      </c>
      <c r="G318" s="56">
        <f t="shared" si="542"/>
        <v>34805</v>
      </c>
      <c r="H318" s="56">
        <f t="shared" si="542"/>
        <v>0</v>
      </c>
      <c r="I318" s="56">
        <f t="shared" si="542"/>
        <v>0</v>
      </c>
      <c r="J318" s="56">
        <f t="shared" si="542"/>
        <v>1440</v>
      </c>
      <c r="K318" s="56">
        <f t="shared" si="542"/>
        <v>33365</v>
      </c>
      <c r="L318" s="56"/>
      <c r="M318" s="56">
        <f t="shared" si="542"/>
        <v>4</v>
      </c>
      <c r="N318" s="56">
        <f t="shared" si="542"/>
        <v>23</v>
      </c>
      <c r="O318" s="56">
        <f t="shared" si="542"/>
        <v>23</v>
      </c>
      <c r="P318" s="56"/>
      <c r="Q318" s="56">
        <f t="shared" si="542"/>
        <v>0</v>
      </c>
      <c r="R318" s="56">
        <f t="shared" si="542"/>
        <v>46317</v>
      </c>
      <c r="S318" s="56">
        <f t="shared" si="542"/>
        <v>44297</v>
      </c>
      <c r="T318" s="56">
        <f t="shared" si="542"/>
        <v>2020</v>
      </c>
      <c r="U318" s="56"/>
      <c r="V318" s="56"/>
      <c r="W318" s="56">
        <f t="shared" si="542"/>
        <v>46317</v>
      </c>
      <c r="X318" s="56">
        <f t="shared" si="542"/>
        <v>44297</v>
      </c>
      <c r="Y318" s="56">
        <f t="shared" si="542"/>
        <v>2020</v>
      </c>
      <c r="Z318" s="56">
        <f t="shared" si="542"/>
        <v>0</v>
      </c>
      <c r="AA318" s="56">
        <f t="shared" si="542"/>
        <v>900</v>
      </c>
      <c r="AB318" s="56">
        <f t="shared" si="542"/>
        <v>900</v>
      </c>
      <c r="AC318" s="56">
        <f t="shared" si="542"/>
        <v>0</v>
      </c>
      <c r="AD318" s="56">
        <f t="shared" si="542"/>
        <v>900</v>
      </c>
      <c r="AE318" s="56">
        <f t="shared" si="542"/>
        <v>0</v>
      </c>
      <c r="AF318" s="56">
        <f t="shared" si="542"/>
        <v>0</v>
      </c>
      <c r="AG318" s="56">
        <f t="shared" si="542"/>
        <v>0</v>
      </c>
      <c r="AH318" s="56">
        <f t="shared" si="542"/>
        <v>0</v>
      </c>
      <c r="AI318" s="56">
        <f t="shared" si="542"/>
        <v>900</v>
      </c>
      <c r="AJ318" s="56">
        <f t="shared" si="542"/>
        <v>0</v>
      </c>
    </row>
    <row r="319" spans="1:36" ht="58.9" customHeight="1" x14ac:dyDescent="0.25">
      <c r="A319" s="5">
        <v>1</v>
      </c>
      <c r="B319" s="26" t="s">
        <v>242</v>
      </c>
      <c r="C319" s="18">
        <v>1</v>
      </c>
      <c r="D319" s="18">
        <v>6</v>
      </c>
      <c r="E319" s="18">
        <v>2</v>
      </c>
      <c r="F319" s="18"/>
      <c r="G319" s="9">
        <f>H319+I319+J319+K319</f>
        <v>6339</v>
      </c>
      <c r="H319" s="18"/>
      <c r="I319" s="18"/>
      <c r="J319" s="18"/>
      <c r="K319" s="18">
        <v>6339</v>
      </c>
      <c r="L319" s="6">
        <v>2024</v>
      </c>
      <c r="M319" s="18">
        <v>1</v>
      </c>
      <c r="N319" s="18">
        <v>6</v>
      </c>
      <c r="O319" s="18">
        <v>2</v>
      </c>
      <c r="P319" s="30"/>
      <c r="Q319" s="30"/>
      <c r="R319" s="37">
        <f>S319+T319</f>
        <v>9273</v>
      </c>
      <c r="S319" s="30">
        <v>8430</v>
      </c>
      <c r="T319" s="30">
        <v>843</v>
      </c>
      <c r="U319" s="7">
        <v>2024</v>
      </c>
      <c r="V319" s="29">
        <v>2</v>
      </c>
      <c r="W319" s="10">
        <f t="shared" ref="W319:W325" si="543">X319+Y319+Z319</f>
        <v>9273</v>
      </c>
      <c r="X319" s="18">
        <v>8430</v>
      </c>
      <c r="Y319" s="18">
        <f>T319</f>
        <v>843</v>
      </c>
      <c r="Z319" s="18"/>
      <c r="AA319" s="64">
        <f>AB319+AC319</f>
        <v>200</v>
      </c>
      <c r="AB319" s="18">
        <v>200</v>
      </c>
      <c r="AC319" s="10"/>
      <c r="AD319" s="10">
        <f t="shared" ref="AD319:AD323" si="544">AE319+AF319+AG319+AH319+AI319+AJ319</f>
        <v>200</v>
      </c>
      <c r="AE319" s="18"/>
      <c r="AF319" s="18"/>
      <c r="AG319" s="18"/>
      <c r="AH319" s="18"/>
      <c r="AI319" s="10">
        <f t="shared" ref="AI319:AI323" si="545">AB319</f>
        <v>200</v>
      </c>
      <c r="AJ319" s="18"/>
    </row>
    <row r="320" spans="1:36" ht="62.45" customHeight="1" x14ac:dyDescent="0.25">
      <c r="A320" s="5">
        <v>2</v>
      </c>
      <c r="B320" s="26" t="s">
        <v>172</v>
      </c>
      <c r="C320" s="18">
        <v>1</v>
      </c>
      <c r="D320" s="18">
        <v>0</v>
      </c>
      <c r="E320" s="18">
        <v>15</v>
      </c>
      <c r="F320" s="18"/>
      <c r="G320" s="9">
        <f>H320+I320+J320+K320</f>
        <v>9984</v>
      </c>
      <c r="H320" s="18"/>
      <c r="I320" s="18"/>
      <c r="J320" s="18"/>
      <c r="K320" s="18">
        <v>9984</v>
      </c>
      <c r="L320" s="6">
        <v>2024</v>
      </c>
      <c r="M320" s="18">
        <v>1</v>
      </c>
      <c r="N320" s="18">
        <v>0</v>
      </c>
      <c r="O320" s="18">
        <v>12</v>
      </c>
      <c r="P320" s="30"/>
      <c r="Q320" s="30"/>
      <c r="R320" s="37">
        <f>S320+T320</f>
        <v>10517</v>
      </c>
      <c r="S320" s="30">
        <f>10517-956</f>
        <v>9561</v>
      </c>
      <c r="T320" s="30">
        <v>956</v>
      </c>
      <c r="U320" s="7">
        <v>2024</v>
      </c>
      <c r="V320" s="29">
        <v>2</v>
      </c>
      <c r="W320" s="10">
        <f t="shared" si="543"/>
        <v>10517</v>
      </c>
      <c r="X320" s="18">
        <v>9561</v>
      </c>
      <c r="Y320" s="18">
        <v>956</v>
      </c>
      <c r="Z320" s="18"/>
      <c r="AA320" s="64">
        <f>AB320+AC320</f>
        <v>200</v>
      </c>
      <c r="AB320" s="18">
        <v>200</v>
      </c>
      <c r="AC320" s="10"/>
      <c r="AD320" s="10">
        <f t="shared" si="544"/>
        <v>200</v>
      </c>
      <c r="AE320" s="18"/>
      <c r="AF320" s="18"/>
      <c r="AG320" s="18"/>
      <c r="AH320" s="18"/>
      <c r="AI320" s="10">
        <f t="shared" si="545"/>
        <v>200</v>
      </c>
      <c r="AJ320" s="18"/>
    </row>
    <row r="321" spans="1:36" ht="45.6" customHeight="1" x14ac:dyDescent="0.25">
      <c r="A321" s="5"/>
      <c r="B321" s="77" t="s">
        <v>243</v>
      </c>
      <c r="C321" s="18"/>
      <c r="D321" s="18">
        <v>1</v>
      </c>
      <c r="E321" s="18">
        <v>0</v>
      </c>
      <c r="F321" s="18"/>
      <c r="G321" s="9">
        <f>H321+I321+J321+K321</f>
        <v>742</v>
      </c>
      <c r="H321" s="18"/>
      <c r="I321" s="18"/>
      <c r="J321" s="18"/>
      <c r="K321" s="18">
        <v>742</v>
      </c>
      <c r="L321" s="6">
        <v>2024</v>
      </c>
      <c r="M321" s="18"/>
      <c r="N321" s="18">
        <v>1</v>
      </c>
      <c r="O321" s="18">
        <v>0</v>
      </c>
      <c r="P321" s="30"/>
      <c r="Q321" s="30"/>
      <c r="R321" s="37">
        <f>S321+T321</f>
        <v>1221</v>
      </c>
      <c r="S321" s="30">
        <f>1221-111</f>
        <v>1110</v>
      </c>
      <c r="T321" s="30">
        <v>111</v>
      </c>
      <c r="U321" s="7">
        <v>2024</v>
      </c>
      <c r="V321" s="29"/>
      <c r="W321" s="10">
        <f t="shared" si="543"/>
        <v>1221</v>
      </c>
      <c r="X321" s="18">
        <v>1110</v>
      </c>
      <c r="Y321" s="18">
        <v>111</v>
      </c>
      <c r="Z321" s="18"/>
      <c r="AA321" s="64">
        <f>AB321+AC321</f>
        <v>0</v>
      </c>
      <c r="AB321" s="18"/>
      <c r="AC321" s="10"/>
      <c r="AD321" s="10">
        <f t="shared" si="544"/>
        <v>0</v>
      </c>
      <c r="AE321" s="18"/>
      <c r="AF321" s="18"/>
      <c r="AG321" s="18"/>
      <c r="AH321" s="18"/>
      <c r="AI321" s="10">
        <f t="shared" si="545"/>
        <v>0</v>
      </c>
      <c r="AJ321" s="18"/>
    </row>
    <row r="322" spans="1:36" ht="49.15" customHeight="1" x14ac:dyDescent="0.25">
      <c r="A322" s="5">
        <v>3</v>
      </c>
      <c r="B322" s="26" t="s">
        <v>244</v>
      </c>
      <c r="C322" s="18">
        <v>1</v>
      </c>
      <c r="D322" s="18">
        <v>10</v>
      </c>
      <c r="E322" s="18">
        <v>7</v>
      </c>
      <c r="F322" s="18"/>
      <c r="G322" s="9">
        <f>H322+I322+J322+K322</f>
        <v>12092</v>
      </c>
      <c r="H322" s="18"/>
      <c r="I322" s="18"/>
      <c r="J322" s="18"/>
      <c r="K322" s="18">
        <v>12092</v>
      </c>
      <c r="L322" s="18"/>
      <c r="M322" s="18">
        <v>1</v>
      </c>
      <c r="N322" s="18">
        <v>10</v>
      </c>
      <c r="O322" s="18">
        <v>7</v>
      </c>
      <c r="P322" s="30"/>
      <c r="Q322" s="30"/>
      <c r="R322" s="37">
        <f>S322+T322</f>
        <v>16325</v>
      </c>
      <c r="S322" s="30">
        <v>16215</v>
      </c>
      <c r="T322" s="30">
        <v>110</v>
      </c>
      <c r="U322" s="7">
        <v>2025</v>
      </c>
      <c r="V322" s="64">
        <v>1</v>
      </c>
      <c r="W322" s="10">
        <f t="shared" si="543"/>
        <v>16325</v>
      </c>
      <c r="X322" s="18">
        <v>16215</v>
      </c>
      <c r="Y322" s="18">
        <v>110</v>
      </c>
      <c r="Z322" s="18"/>
      <c r="AA322" s="64">
        <f>AB322+AC322</f>
        <v>300</v>
      </c>
      <c r="AB322" s="18">
        <v>300</v>
      </c>
      <c r="AC322" s="10"/>
      <c r="AD322" s="10">
        <f t="shared" si="544"/>
        <v>300</v>
      </c>
      <c r="AE322" s="18"/>
      <c r="AF322" s="18"/>
      <c r="AG322" s="18"/>
      <c r="AH322" s="18"/>
      <c r="AI322" s="10">
        <f t="shared" si="545"/>
        <v>300</v>
      </c>
      <c r="AJ322" s="18"/>
    </row>
    <row r="323" spans="1:36" ht="48.6" customHeight="1" x14ac:dyDescent="0.25">
      <c r="A323" s="5">
        <v>4</v>
      </c>
      <c r="B323" s="26" t="s">
        <v>239</v>
      </c>
      <c r="C323" s="22">
        <v>1</v>
      </c>
      <c r="D323" s="22">
        <v>6</v>
      </c>
      <c r="E323" s="22">
        <v>0</v>
      </c>
      <c r="F323" s="22"/>
      <c r="G323" s="9">
        <f>H323+I323+J323+K323</f>
        <v>5648</v>
      </c>
      <c r="H323" s="18"/>
      <c r="I323" s="18"/>
      <c r="J323" s="18">
        <v>1440</v>
      </c>
      <c r="K323" s="18">
        <v>4208</v>
      </c>
      <c r="L323" s="23">
        <v>2024</v>
      </c>
      <c r="M323" s="22">
        <v>1</v>
      </c>
      <c r="N323" s="18">
        <v>6</v>
      </c>
      <c r="O323" s="18">
        <v>2</v>
      </c>
      <c r="P323" s="30"/>
      <c r="Q323" s="72"/>
      <c r="R323" s="37">
        <f>S323+T323</f>
        <v>8981</v>
      </c>
      <c r="S323" s="72">
        <v>8981</v>
      </c>
      <c r="T323" s="72">
        <v>0</v>
      </c>
      <c r="U323" s="7">
        <v>2025</v>
      </c>
      <c r="V323" s="64">
        <v>1</v>
      </c>
      <c r="W323" s="10">
        <f t="shared" si="543"/>
        <v>8981</v>
      </c>
      <c r="X323" s="64">
        <v>8981</v>
      </c>
      <c r="Y323" s="64">
        <v>0</v>
      </c>
      <c r="Z323" s="64"/>
      <c r="AA323" s="64">
        <f>AB323+AC323</f>
        <v>200</v>
      </c>
      <c r="AB323" s="18">
        <v>200</v>
      </c>
      <c r="AC323" s="10">
        <f>Y323</f>
        <v>0</v>
      </c>
      <c r="AD323" s="10">
        <f t="shared" si="544"/>
        <v>200</v>
      </c>
      <c r="AE323" s="18"/>
      <c r="AF323" s="18"/>
      <c r="AG323" s="18"/>
      <c r="AH323" s="18"/>
      <c r="AI323" s="10">
        <f t="shared" si="545"/>
        <v>200</v>
      </c>
      <c r="AJ323" s="18"/>
    </row>
    <row r="324" spans="1:36" ht="27.6" customHeight="1" x14ac:dyDescent="0.25">
      <c r="A324" s="5"/>
      <c r="B324" s="47" t="s">
        <v>64</v>
      </c>
      <c r="C324" s="56">
        <f t="shared" ref="C324:M324" si="546">C325</f>
        <v>1</v>
      </c>
      <c r="D324" s="56">
        <f t="shared" si="546"/>
        <v>14</v>
      </c>
      <c r="E324" s="56">
        <f t="shared" si="546"/>
        <v>24</v>
      </c>
      <c r="F324" s="56">
        <f t="shared" si="546"/>
        <v>0</v>
      </c>
      <c r="G324" s="56">
        <f t="shared" si="546"/>
        <v>35330</v>
      </c>
      <c r="H324" s="56">
        <f t="shared" si="546"/>
        <v>0</v>
      </c>
      <c r="I324" s="56">
        <f t="shared" si="546"/>
        <v>0</v>
      </c>
      <c r="J324" s="56">
        <f t="shared" si="546"/>
        <v>3600</v>
      </c>
      <c r="K324" s="56">
        <f t="shared" si="546"/>
        <v>31730</v>
      </c>
      <c r="L324" s="56">
        <f t="shared" si="546"/>
        <v>0</v>
      </c>
      <c r="M324" s="56">
        <f t="shared" si="546"/>
        <v>1</v>
      </c>
      <c r="N324" s="56">
        <f>N325</f>
        <v>14</v>
      </c>
      <c r="O324" s="56">
        <f>O325</f>
        <v>28</v>
      </c>
      <c r="P324" s="56"/>
      <c r="Q324" s="56">
        <f>Q325</f>
        <v>0</v>
      </c>
      <c r="R324" s="56">
        <f>R325</f>
        <v>44882</v>
      </c>
      <c r="S324" s="56">
        <f>S325</f>
        <v>37602</v>
      </c>
      <c r="T324" s="56">
        <f>T325</f>
        <v>7280</v>
      </c>
      <c r="U324" s="56"/>
      <c r="V324" s="56"/>
      <c r="W324" s="56">
        <f>W325</f>
        <v>44882</v>
      </c>
      <c r="X324" s="56">
        <f>X325</f>
        <v>37602</v>
      </c>
      <c r="Y324" s="56">
        <f>Y325</f>
        <v>7280</v>
      </c>
      <c r="Z324" s="56">
        <f>Z325</f>
        <v>0</v>
      </c>
      <c r="AA324" s="56">
        <f t="shared" ref="AA324:AJ324" si="547">AA325</f>
        <v>500</v>
      </c>
      <c r="AB324" s="56">
        <f t="shared" si="547"/>
        <v>500</v>
      </c>
      <c r="AC324" s="56">
        <f t="shared" si="547"/>
        <v>0</v>
      </c>
      <c r="AD324" s="56">
        <f t="shared" si="547"/>
        <v>500</v>
      </c>
      <c r="AE324" s="56">
        <f t="shared" si="547"/>
        <v>0</v>
      </c>
      <c r="AF324" s="56">
        <f t="shared" si="547"/>
        <v>0</v>
      </c>
      <c r="AG324" s="56">
        <f t="shared" si="547"/>
        <v>0</v>
      </c>
      <c r="AH324" s="56">
        <f t="shared" si="547"/>
        <v>0</v>
      </c>
      <c r="AI324" s="56">
        <f t="shared" si="547"/>
        <v>500</v>
      </c>
      <c r="AJ324" s="56">
        <f t="shared" si="547"/>
        <v>0</v>
      </c>
    </row>
    <row r="325" spans="1:36" ht="48" customHeight="1" x14ac:dyDescent="0.25">
      <c r="A325" s="5">
        <v>1</v>
      </c>
      <c r="B325" s="26" t="s">
        <v>247</v>
      </c>
      <c r="C325" s="18">
        <v>1</v>
      </c>
      <c r="D325" s="18">
        <v>14</v>
      </c>
      <c r="E325" s="18">
        <v>24</v>
      </c>
      <c r="F325" s="18"/>
      <c r="G325" s="9">
        <f>H325+I325+J325+K325</f>
        <v>35330</v>
      </c>
      <c r="H325" s="18"/>
      <c r="I325" s="18"/>
      <c r="J325" s="18">
        <v>3600</v>
      </c>
      <c r="K325" s="18">
        <v>31730</v>
      </c>
      <c r="L325" s="18"/>
      <c r="M325" s="18">
        <v>1</v>
      </c>
      <c r="N325" s="18">
        <v>14</v>
      </c>
      <c r="O325" s="18">
        <v>28</v>
      </c>
      <c r="P325" s="30"/>
      <c r="Q325" s="30"/>
      <c r="R325" s="37">
        <f>S325+T325</f>
        <v>44882</v>
      </c>
      <c r="S325" s="30">
        <v>37602</v>
      </c>
      <c r="T325" s="30">
        <v>7280</v>
      </c>
      <c r="U325" s="7">
        <v>2024</v>
      </c>
      <c r="V325" s="18">
        <v>1</v>
      </c>
      <c r="W325" s="10">
        <f t="shared" si="543"/>
        <v>44882</v>
      </c>
      <c r="X325" s="18">
        <v>37602</v>
      </c>
      <c r="Y325" s="18">
        <v>7280</v>
      </c>
      <c r="Z325" s="18"/>
      <c r="AA325" s="64">
        <f>AB325+AC325</f>
        <v>500</v>
      </c>
      <c r="AB325" s="18">
        <v>500</v>
      </c>
      <c r="AC325" s="10"/>
      <c r="AD325" s="10">
        <f>AE325+AF325+AG325+AH325+AI325+AJ325</f>
        <v>500</v>
      </c>
      <c r="AE325" s="64"/>
      <c r="AF325" s="64"/>
      <c r="AG325" s="64"/>
      <c r="AH325" s="64"/>
      <c r="AI325" s="10">
        <f>AB325</f>
        <v>500</v>
      </c>
      <c r="AJ325" s="64"/>
    </row>
    <row r="326" spans="1:36" ht="40.15" customHeight="1" x14ac:dyDescent="0.25">
      <c r="A326" s="11" t="s">
        <v>161</v>
      </c>
      <c r="B326" s="47" t="s">
        <v>174</v>
      </c>
      <c r="C326" s="49">
        <f t="shared" ref="C326:Z326" si="548">C327+C333+C336</f>
        <v>8</v>
      </c>
      <c r="D326" s="49">
        <f t="shared" si="548"/>
        <v>49</v>
      </c>
      <c r="E326" s="49">
        <f t="shared" si="548"/>
        <v>142</v>
      </c>
      <c r="F326" s="49">
        <f t="shared" si="548"/>
        <v>0</v>
      </c>
      <c r="G326" s="49">
        <f t="shared" si="548"/>
        <v>163466</v>
      </c>
      <c r="H326" s="49">
        <f t="shared" si="548"/>
        <v>88024</v>
      </c>
      <c r="I326" s="49">
        <f t="shared" si="548"/>
        <v>0</v>
      </c>
      <c r="J326" s="49">
        <f t="shared" si="548"/>
        <v>1200</v>
      </c>
      <c r="K326" s="49">
        <f t="shared" si="548"/>
        <v>74242</v>
      </c>
      <c r="L326" s="49">
        <f t="shared" si="548"/>
        <v>0</v>
      </c>
      <c r="M326" s="49">
        <f t="shared" si="548"/>
        <v>8</v>
      </c>
      <c r="N326" s="49">
        <f t="shared" si="548"/>
        <v>54</v>
      </c>
      <c r="O326" s="49">
        <f t="shared" si="548"/>
        <v>173</v>
      </c>
      <c r="P326" s="49"/>
      <c r="Q326" s="49">
        <f t="shared" si="548"/>
        <v>0</v>
      </c>
      <c r="R326" s="49">
        <f t="shared" si="548"/>
        <v>408502</v>
      </c>
      <c r="S326" s="49">
        <f t="shared" si="548"/>
        <v>352987</v>
      </c>
      <c r="T326" s="49">
        <f t="shared" si="548"/>
        <v>55515</v>
      </c>
      <c r="U326" s="49">
        <f t="shared" si="548"/>
        <v>0</v>
      </c>
      <c r="V326" s="49">
        <f t="shared" si="548"/>
        <v>0</v>
      </c>
      <c r="W326" s="49">
        <f t="shared" si="548"/>
        <v>403829</v>
      </c>
      <c r="X326" s="49">
        <f t="shared" si="548"/>
        <v>350574</v>
      </c>
      <c r="Y326" s="49">
        <f t="shared" si="548"/>
        <v>53255</v>
      </c>
      <c r="Z326" s="49">
        <f t="shared" si="548"/>
        <v>0</v>
      </c>
      <c r="AA326" s="49">
        <f t="shared" ref="AA326:AJ326" si="549">AA327+AA333+AA336</f>
        <v>4600</v>
      </c>
      <c r="AB326" s="49">
        <f t="shared" si="549"/>
        <v>4600</v>
      </c>
      <c r="AC326" s="49">
        <f t="shared" si="549"/>
        <v>0</v>
      </c>
      <c r="AD326" s="49">
        <f t="shared" si="549"/>
        <v>4600</v>
      </c>
      <c r="AE326" s="49">
        <f t="shared" si="549"/>
        <v>0</v>
      </c>
      <c r="AF326" s="49">
        <f t="shared" si="549"/>
        <v>0</v>
      </c>
      <c r="AG326" s="49">
        <f t="shared" si="549"/>
        <v>0</v>
      </c>
      <c r="AH326" s="49">
        <f t="shared" si="549"/>
        <v>0</v>
      </c>
      <c r="AI326" s="49">
        <f t="shared" si="549"/>
        <v>4600</v>
      </c>
      <c r="AJ326" s="49">
        <f t="shared" si="549"/>
        <v>0</v>
      </c>
    </row>
    <row r="327" spans="1:36" ht="34.9" customHeight="1" x14ac:dyDescent="0.25">
      <c r="A327" s="5"/>
      <c r="B327" s="47" t="s">
        <v>29</v>
      </c>
      <c r="C327" s="33">
        <f>SUM(C328:C332)</f>
        <v>3</v>
      </c>
      <c r="D327" s="33">
        <f t="shared" ref="D327:AJ327" si="550">SUM(D328:D332)</f>
        <v>22</v>
      </c>
      <c r="E327" s="33">
        <f t="shared" si="550"/>
        <v>34</v>
      </c>
      <c r="F327" s="33">
        <f t="shared" si="550"/>
        <v>0</v>
      </c>
      <c r="G327" s="33">
        <f t="shared" si="550"/>
        <v>62577</v>
      </c>
      <c r="H327" s="33">
        <f t="shared" si="550"/>
        <v>36333</v>
      </c>
      <c r="I327" s="33">
        <f t="shared" si="550"/>
        <v>0</v>
      </c>
      <c r="J327" s="33">
        <f t="shared" si="550"/>
        <v>0</v>
      </c>
      <c r="K327" s="33">
        <f t="shared" si="550"/>
        <v>26244</v>
      </c>
      <c r="L327" s="33"/>
      <c r="M327" s="33">
        <f t="shared" si="550"/>
        <v>3</v>
      </c>
      <c r="N327" s="33">
        <f t="shared" si="550"/>
        <v>22</v>
      </c>
      <c r="O327" s="33">
        <f t="shared" si="550"/>
        <v>37</v>
      </c>
      <c r="P327" s="33"/>
      <c r="Q327" s="33">
        <f t="shared" si="550"/>
        <v>0</v>
      </c>
      <c r="R327" s="33">
        <f t="shared" si="550"/>
        <v>135659</v>
      </c>
      <c r="S327" s="33">
        <f t="shared" si="550"/>
        <v>113672</v>
      </c>
      <c r="T327" s="33">
        <f t="shared" si="550"/>
        <v>21987</v>
      </c>
      <c r="U327" s="33"/>
      <c r="V327" s="33"/>
      <c r="W327" s="33">
        <f t="shared" si="550"/>
        <v>131484</v>
      </c>
      <c r="X327" s="33">
        <f t="shared" si="550"/>
        <v>111757</v>
      </c>
      <c r="Y327" s="33">
        <f t="shared" si="550"/>
        <v>19727</v>
      </c>
      <c r="Z327" s="33">
        <f t="shared" si="550"/>
        <v>0</v>
      </c>
      <c r="AA327" s="33">
        <f t="shared" si="550"/>
        <v>1600</v>
      </c>
      <c r="AB327" s="33">
        <f t="shared" si="550"/>
        <v>1600</v>
      </c>
      <c r="AC327" s="33">
        <f t="shared" si="550"/>
        <v>0</v>
      </c>
      <c r="AD327" s="33">
        <f t="shared" si="550"/>
        <v>1600</v>
      </c>
      <c r="AE327" s="33">
        <f t="shared" si="550"/>
        <v>0</v>
      </c>
      <c r="AF327" s="33">
        <f t="shared" si="550"/>
        <v>0</v>
      </c>
      <c r="AG327" s="33">
        <f t="shared" si="550"/>
        <v>0</v>
      </c>
      <c r="AH327" s="33">
        <f t="shared" si="550"/>
        <v>0</v>
      </c>
      <c r="AI327" s="33">
        <f t="shared" si="550"/>
        <v>1600</v>
      </c>
      <c r="AJ327" s="33">
        <f t="shared" si="550"/>
        <v>0</v>
      </c>
    </row>
    <row r="328" spans="1:36" ht="63.6" customHeight="1" x14ac:dyDescent="0.25">
      <c r="A328" s="5">
        <v>1</v>
      </c>
      <c r="B328" s="5" t="s">
        <v>179</v>
      </c>
      <c r="C328" s="9">
        <v>1</v>
      </c>
      <c r="D328" s="9">
        <v>10</v>
      </c>
      <c r="E328" s="9">
        <v>5</v>
      </c>
      <c r="F328" s="9"/>
      <c r="G328" s="9">
        <f>H328+I328+J328+K328</f>
        <v>23058</v>
      </c>
      <c r="H328" s="9">
        <v>23058</v>
      </c>
      <c r="I328" s="9"/>
      <c r="J328" s="9"/>
      <c r="K328" s="9"/>
      <c r="L328" s="7">
        <v>2022</v>
      </c>
      <c r="M328" s="9">
        <v>1</v>
      </c>
      <c r="N328" s="4">
        <v>10</v>
      </c>
      <c r="O328" s="4">
        <v>5</v>
      </c>
      <c r="P328" s="8"/>
      <c r="Q328" s="83" t="s">
        <v>418</v>
      </c>
      <c r="R328" s="37">
        <f>S328+T328</f>
        <v>42675</v>
      </c>
      <c r="S328" s="37">
        <v>38915</v>
      </c>
      <c r="T328" s="37">
        <v>3760</v>
      </c>
      <c r="U328" s="7">
        <v>2023</v>
      </c>
      <c r="V328" s="7">
        <v>2</v>
      </c>
      <c r="W328" s="10">
        <f t="shared" ref="W328:W339" si="551">X328+Y328+Z328</f>
        <v>38500</v>
      </c>
      <c r="X328" s="9">
        <v>37000</v>
      </c>
      <c r="Y328" s="9">
        <v>1500</v>
      </c>
      <c r="Z328" s="9"/>
      <c r="AA328" s="10">
        <f>AB328+AC328</f>
        <v>500</v>
      </c>
      <c r="AB328" s="10">
        <v>500</v>
      </c>
      <c r="AC328" s="10"/>
      <c r="AD328" s="10">
        <f t="shared" ref="AD328:AD339" si="552">AE328+AF328+AG328+AH328+AI328+AJ328</f>
        <v>500</v>
      </c>
      <c r="AE328" s="10"/>
      <c r="AF328" s="10"/>
      <c r="AG328" s="10"/>
      <c r="AH328" s="10"/>
      <c r="AI328" s="10">
        <f t="shared" ref="AI328:AI339" si="553">AB328</f>
        <v>500</v>
      </c>
      <c r="AJ328" s="10"/>
    </row>
    <row r="329" spans="1:36" ht="57.6" customHeight="1" x14ac:dyDescent="0.25">
      <c r="A329" s="5">
        <v>2</v>
      </c>
      <c r="B329" s="5" t="s">
        <v>180</v>
      </c>
      <c r="C329" s="9">
        <v>1</v>
      </c>
      <c r="D329" s="18">
        <v>6</v>
      </c>
      <c r="E329" s="18">
        <v>14</v>
      </c>
      <c r="F329" s="18"/>
      <c r="G329" s="9">
        <f>H329+I329+J329+K329</f>
        <v>19272</v>
      </c>
      <c r="H329" s="18"/>
      <c r="I329" s="18"/>
      <c r="J329" s="18"/>
      <c r="K329" s="18">
        <v>19272</v>
      </c>
      <c r="L329" s="7">
        <v>2023</v>
      </c>
      <c r="M329" s="18">
        <v>1</v>
      </c>
      <c r="N329" s="22">
        <v>6</v>
      </c>
      <c r="O329" s="22">
        <v>15</v>
      </c>
      <c r="P329" s="8"/>
      <c r="Q329" s="83" t="s">
        <v>419</v>
      </c>
      <c r="R329" s="37">
        <f>S329+T329</f>
        <v>36398</v>
      </c>
      <c r="S329" s="84">
        <v>33171</v>
      </c>
      <c r="T329" s="84">
        <v>3227</v>
      </c>
      <c r="U329" s="6">
        <v>2023</v>
      </c>
      <c r="V329" s="7">
        <v>2</v>
      </c>
      <c r="W329" s="10">
        <f t="shared" si="551"/>
        <v>36398</v>
      </c>
      <c r="X329" s="18">
        <v>33171</v>
      </c>
      <c r="Y329" s="18">
        <v>3227</v>
      </c>
      <c r="Z329" s="18"/>
      <c r="AA329" s="10">
        <f>AB329+AC329</f>
        <v>500</v>
      </c>
      <c r="AB329" s="10">
        <v>500</v>
      </c>
      <c r="AC329" s="10"/>
      <c r="AD329" s="10">
        <f t="shared" si="552"/>
        <v>500</v>
      </c>
      <c r="AE329" s="10"/>
      <c r="AF329" s="10"/>
      <c r="AG329" s="10"/>
      <c r="AH329" s="10"/>
      <c r="AI329" s="10">
        <f t="shared" si="553"/>
        <v>500</v>
      </c>
      <c r="AJ329" s="10"/>
    </row>
    <row r="330" spans="1:36" ht="51.6" customHeight="1" x14ac:dyDescent="0.25">
      <c r="A330" s="5">
        <v>3</v>
      </c>
      <c r="B330" s="5" t="s">
        <v>235</v>
      </c>
      <c r="C330" s="9">
        <v>1</v>
      </c>
      <c r="D330" s="9"/>
      <c r="E330" s="9"/>
      <c r="F330" s="9"/>
      <c r="G330" s="9">
        <f>H330+I330+J330+K330</f>
        <v>0</v>
      </c>
      <c r="H330" s="9"/>
      <c r="I330" s="9"/>
      <c r="J330" s="9"/>
      <c r="K330" s="9"/>
      <c r="L330" s="9"/>
      <c r="M330" s="9">
        <v>1</v>
      </c>
      <c r="N330" s="4">
        <v>6</v>
      </c>
      <c r="O330" s="4">
        <v>17</v>
      </c>
      <c r="P330" s="8"/>
      <c r="Q330" s="8"/>
      <c r="R330" s="37">
        <f>S330+T330</f>
        <v>56586</v>
      </c>
      <c r="S330" s="37">
        <v>41586</v>
      </c>
      <c r="T330" s="37">
        <v>15000</v>
      </c>
      <c r="U330" s="6">
        <v>2025</v>
      </c>
      <c r="V330" s="7">
        <v>2</v>
      </c>
      <c r="W330" s="10">
        <f t="shared" si="551"/>
        <v>56586</v>
      </c>
      <c r="X330" s="9">
        <v>41586</v>
      </c>
      <c r="Y330" s="9">
        <v>15000</v>
      </c>
      <c r="Z330" s="9"/>
      <c r="AA330" s="10">
        <f>AB330+AC330</f>
        <v>600</v>
      </c>
      <c r="AB330" s="10">
        <v>600</v>
      </c>
      <c r="AC330" s="10"/>
      <c r="AD330" s="10">
        <f t="shared" si="552"/>
        <v>600</v>
      </c>
      <c r="AE330" s="10"/>
      <c r="AF330" s="10"/>
      <c r="AG330" s="10"/>
      <c r="AH330" s="10"/>
      <c r="AI330" s="10">
        <f t="shared" si="553"/>
        <v>600</v>
      </c>
      <c r="AJ330" s="10"/>
    </row>
    <row r="331" spans="1:36" ht="43.9" customHeight="1" x14ac:dyDescent="0.25">
      <c r="A331" s="5"/>
      <c r="B331" s="5" t="s">
        <v>233</v>
      </c>
      <c r="C331" s="9"/>
      <c r="D331" s="9">
        <v>0</v>
      </c>
      <c r="E331" s="9">
        <v>14</v>
      </c>
      <c r="F331" s="9"/>
      <c r="G331" s="9">
        <f>H331+I331+J331+K331</f>
        <v>6972</v>
      </c>
      <c r="H331" s="9"/>
      <c r="I331" s="9"/>
      <c r="J331" s="9"/>
      <c r="K331" s="9">
        <v>6972</v>
      </c>
      <c r="L331" s="9"/>
      <c r="M331" s="9"/>
      <c r="N331" s="4"/>
      <c r="O331" s="4"/>
      <c r="P331" s="8"/>
      <c r="Q331" s="8"/>
      <c r="R331" s="37">
        <f>S331+T331</f>
        <v>0</v>
      </c>
      <c r="S331" s="37"/>
      <c r="T331" s="37"/>
      <c r="U331" s="5"/>
      <c r="V331" s="4"/>
      <c r="W331" s="10">
        <f t="shared" si="551"/>
        <v>0</v>
      </c>
      <c r="X331" s="9"/>
      <c r="Y331" s="9"/>
      <c r="Z331" s="9"/>
      <c r="AA331" s="10"/>
      <c r="AB331" s="10"/>
      <c r="AC331" s="10"/>
      <c r="AD331" s="10">
        <f t="shared" si="552"/>
        <v>0</v>
      </c>
      <c r="AE331" s="10"/>
      <c r="AF331" s="10"/>
      <c r="AG331" s="10"/>
      <c r="AH331" s="10"/>
      <c r="AI331" s="10">
        <f t="shared" si="553"/>
        <v>0</v>
      </c>
      <c r="AJ331" s="10"/>
    </row>
    <row r="332" spans="1:36" ht="45.6" customHeight="1" x14ac:dyDescent="0.25">
      <c r="A332" s="5"/>
      <c r="B332" s="5" t="s">
        <v>234</v>
      </c>
      <c r="C332" s="9"/>
      <c r="D332" s="9">
        <v>6</v>
      </c>
      <c r="E332" s="9">
        <v>1</v>
      </c>
      <c r="F332" s="9"/>
      <c r="G332" s="9">
        <f>H332+I332+J332+K332</f>
        <v>13275</v>
      </c>
      <c r="H332" s="9">
        <v>13275</v>
      </c>
      <c r="I332" s="9"/>
      <c r="J332" s="9"/>
      <c r="K332" s="9"/>
      <c r="L332" s="9"/>
      <c r="M332" s="9"/>
      <c r="N332" s="4"/>
      <c r="O332" s="4"/>
      <c r="P332" s="8"/>
      <c r="Q332" s="8"/>
      <c r="R332" s="37">
        <f>S332+T332</f>
        <v>0</v>
      </c>
      <c r="S332" s="37"/>
      <c r="T332" s="37"/>
      <c r="U332" s="5"/>
      <c r="V332" s="4"/>
      <c r="W332" s="10">
        <f t="shared" si="551"/>
        <v>0</v>
      </c>
      <c r="X332" s="9"/>
      <c r="Y332" s="9"/>
      <c r="Z332" s="9"/>
      <c r="AA332" s="10"/>
      <c r="AB332" s="10"/>
      <c r="AC332" s="10"/>
      <c r="AD332" s="10">
        <f t="shared" si="552"/>
        <v>0</v>
      </c>
      <c r="AE332" s="10"/>
      <c r="AF332" s="10"/>
      <c r="AG332" s="10"/>
      <c r="AH332" s="10"/>
      <c r="AI332" s="10">
        <f t="shared" si="553"/>
        <v>0</v>
      </c>
      <c r="AJ332" s="10"/>
    </row>
    <row r="333" spans="1:36" ht="43.15" customHeight="1" x14ac:dyDescent="0.25">
      <c r="A333" s="5"/>
      <c r="B333" s="47" t="s">
        <v>37</v>
      </c>
      <c r="C333" s="33">
        <f>SUM(C334:C335)</f>
        <v>2</v>
      </c>
      <c r="D333" s="33">
        <f t="shared" ref="D333:K333" si="554">SUM(D334:D335)</f>
        <v>13</v>
      </c>
      <c r="E333" s="33">
        <f t="shared" si="554"/>
        <v>39</v>
      </c>
      <c r="F333" s="33">
        <f t="shared" si="554"/>
        <v>0</v>
      </c>
      <c r="G333" s="33">
        <f t="shared" si="554"/>
        <v>35043</v>
      </c>
      <c r="H333" s="33">
        <f t="shared" si="554"/>
        <v>0</v>
      </c>
      <c r="I333" s="33">
        <f t="shared" si="554"/>
        <v>0</v>
      </c>
      <c r="J333" s="33">
        <f t="shared" si="554"/>
        <v>0</v>
      </c>
      <c r="K333" s="33">
        <f t="shared" si="554"/>
        <v>35043</v>
      </c>
      <c r="L333" s="33"/>
      <c r="M333" s="33">
        <f t="shared" ref="M333" si="555">SUM(M334:M335)</f>
        <v>2</v>
      </c>
      <c r="N333" s="33">
        <f t="shared" ref="N333" si="556">SUM(N334:N335)</f>
        <v>13</v>
      </c>
      <c r="O333" s="33">
        <f t="shared" ref="O333" si="557">SUM(O334:O335)</f>
        <v>43</v>
      </c>
      <c r="P333" s="8"/>
      <c r="Q333" s="8"/>
      <c r="R333" s="33">
        <f t="shared" ref="R333" si="558">SUM(R334:R335)</f>
        <v>79044</v>
      </c>
      <c r="S333" s="33">
        <f t="shared" ref="S333" si="559">SUM(S334:S335)</f>
        <v>76799</v>
      </c>
      <c r="T333" s="33">
        <f t="shared" ref="T333" si="560">SUM(T334:T335)</f>
        <v>2245</v>
      </c>
      <c r="U333" s="7"/>
      <c r="V333" s="7"/>
      <c r="W333" s="33">
        <f t="shared" ref="W333" si="561">SUM(W334:W335)</f>
        <v>78546</v>
      </c>
      <c r="X333" s="33">
        <f t="shared" ref="X333" si="562">SUM(X334:X335)</f>
        <v>76301</v>
      </c>
      <c r="Y333" s="33">
        <f t="shared" ref="Y333" si="563">SUM(Y334:Y335)</f>
        <v>2245</v>
      </c>
      <c r="Z333" s="33">
        <f t="shared" ref="Z333" si="564">SUM(Z334:Z335)</f>
        <v>0</v>
      </c>
      <c r="AA333" s="33">
        <f t="shared" ref="AA333" si="565">SUM(AA334:AA335)</f>
        <v>1000</v>
      </c>
      <c r="AB333" s="33">
        <f t="shared" ref="AB333" si="566">SUM(AB334:AB335)</f>
        <v>1000</v>
      </c>
      <c r="AC333" s="33">
        <f t="shared" ref="AC333" si="567">SUM(AC334:AC335)</f>
        <v>0</v>
      </c>
      <c r="AD333" s="33">
        <f t="shared" ref="AD333" si="568">SUM(AD334:AD335)</f>
        <v>1000</v>
      </c>
      <c r="AE333" s="33">
        <f t="shared" ref="AE333" si="569">SUM(AE334:AE335)</f>
        <v>0</v>
      </c>
      <c r="AF333" s="33">
        <f t="shared" ref="AF333" si="570">SUM(AF334:AF335)</f>
        <v>0</v>
      </c>
      <c r="AG333" s="33">
        <f t="shared" ref="AG333" si="571">SUM(AG334:AG335)</f>
        <v>0</v>
      </c>
      <c r="AH333" s="33">
        <f t="shared" ref="AH333" si="572">SUM(AH334:AH335)</f>
        <v>0</v>
      </c>
      <c r="AI333" s="33">
        <f t="shared" ref="AI333" si="573">SUM(AI334:AI335)</f>
        <v>1000</v>
      </c>
      <c r="AJ333" s="33">
        <f t="shared" ref="AJ333" si="574">SUM(AJ334:AJ335)</f>
        <v>0</v>
      </c>
    </row>
    <row r="334" spans="1:36" ht="48" customHeight="1" x14ac:dyDescent="0.25">
      <c r="A334" s="5">
        <v>1</v>
      </c>
      <c r="B334" s="5" t="s">
        <v>186</v>
      </c>
      <c r="C334" s="9">
        <v>1</v>
      </c>
      <c r="D334" s="9">
        <v>7</v>
      </c>
      <c r="E334" s="9">
        <v>17</v>
      </c>
      <c r="F334" s="9"/>
      <c r="G334" s="9">
        <f>H334+I334+J334+K334</f>
        <v>16544</v>
      </c>
      <c r="H334" s="9"/>
      <c r="I334" s="9"/>
      <c r="J334" s="9"/>
      <c r="K334" s="9">
        <v>16544</v>
      </c>
      <c r="L334" s="7">
        <v>2022</v>
      </c>
      <c r="M334" s="9">
        <v>1</v>
      </c>
      <c r="N334" s="4">
        <v>7</v>
      </c>
      <c r="O334" s="4">
        <v>19</v>
      </c>
      <c r="P334" s="8"/>
      <c r="Q334" s="83" t="s">
        <v>421</v>
      </c>
      <c r="R334" s="37">
        <f>S334+T334</f>
        <v>34044</v>
      </c>
      <c r="S334" s="81">
        <v>31799</v>
      </c>
      <c r="T334" s="81">
        <v>2245</v>
      </c>
      <c r="U334" s="7">
        <v>2023</v>
      </c>
      <c r="V334" s="7">
        <v>2</v>
      </c>
      <c r="W334" s="10">
        <f t="shared" si="551"/>
        <v>33546</v>
      </c>
      <c r="X334" s="9">
        <v>31301</v>
      </c>
      <c r="Y334" s="9">
        <v>2245</v>
      </c>
      <c r="Z334" s="9"/>
      <c r="AA334" s="10">
        <f>AB334+AC334</f>
        <v>500</v>
      </c>
      <c r="AB334" s="10">
        <v>500</v>
      </c>
      <c r="AC334" s="10"/>
      <c r="AD334" s="10">
        <f t="shared" si="552"/>
        <v>500</v>
      </c>
      <c r="AE334" s="10"/>
      <c r="AF334" s="10"/>
      <c r="AG334" s="10"/>
      <c r="AH334" s="10"/>
      <c r="AI334" s="10">
        <f t="shared" si="553"/>
        <v>500</v>
      </c>
      <c r="AJ334" s="10"/>
    </row>
    <row r="335" spans="1:36" ht="56.45" customHeight="1" x14ac:dyDescent="0.25">
      <c r="A335" s="5">
        <v>2</v>
      </c>
      <c r="B335" s="5" t="s">
        <v>188</v>
      </c>
      <c r="C335" s="9">
        <v>1</v>
      </c>
      <c r="D335" s="9">
        <v>6</v>
      </c>
      <c r="E335" s="9">
        <v>22</v>
      </c>
      <c r="F335" s="9"/>
      <c r="G335" s="9">
        <f>H335+I335+J335+K335</f>
        <v>18499</v>
      </c>
      <c r="H335" s="9"/>
      <c r="I335" s="9"/>
      <c r="J335" s="9"/>
      <c r="K335" s="9">
        <v>18499</v>
      </c>
      <c r="L335" s="7">
        <v>2024</v>
      </c>
      <c r="M335" s="9">
        <v>1</v>
      </c>
      <c r="N335" s="4">
        <v>6</v>
      </c>
      <c r="O335" s="4">
        <v>24</v>
      </c>
      <c r="P335" s="8"/>
      <c r="Q335" s="8"/>
      <c r="R335" s="37">
        <f>S335+T335</f>
        <v>45000</v>
      </c>
      <c r="S335" s="37">
        <v>45000</v>
      </c>
      <c r="T335" s="37"/>
      <c r="U335" s="7">
        <v>2024</v>
      </c>
      <c r="V335" s="7">
        <v>2</v>
      </c>
      <c r="W335" s="10">
        <f t="shared" si="551"/>
        <v>45000</v>
      </c>
      <c r="X335" s="9">
        <v>45000</v>
      </c>
      <c r="Y335" s="9"/>
      <c r="Z335" s="9"/>
      <c r="AA335" s="10">
        <f>AB335+AC335</f>
        <v>500</v>
      </c>
      <c r="AB335" s="10">
        <v>500</v>
      </c>
      <c r="AC335" s="10"/>
      <c r="AD335" s="10">
        <f t="shared" si="552"/>
        <v>500</v>
      </c>
      <c r="AE335" s="10"/>
      <c r="AF335" s="10"/>
      <c r="AG335" s="10"/>
      <c r="AH335" s="10"/>
      <c r="AI335" s="10">
        <f t="shared" si="553"/>
        <v>500</v>
      </c>
      <c r="AJ335" s="10"/>
    </row>
    <row r="336" spans="1:36" ht="45" customHeight="1" x14ac:dyDescent="0.25">
      <c r="A336" s="5"/>
      <c r="B336" s="47" t="s">
        <v>64</v>
      </c>
      <c r="C336" s="33">
        <f>C337+C338+C339</f>
        <v>3</v>
      </c>
      <c r="D336" s="33">
        <f t="shared" ref="D336:AJ336" si="575">D337+D338+D339</f>
        <v>14</v>
      </c>
      <c r="E336" s="33">
        <f t="shared" si="575"/>
        <v>69</v>
      </c>
      <c r="F336" s="33">
        <f t="shared" si="575"/>
        <v>0</v>
      </c>
      <c r="G336" s="33">
        <f t="shared" si="575"/>
        <v>65846</v>
      </c>
      <c r="H336" s="33">
        <f t="shared" si="575"/>
        <v>51691</v>
      </c>
      <c r="I336" s="33">
        <f t="shared" si="575"/>
        <v>0</v>
      </c>
      <c r="J336" s="33">
        <f t="shared" si="575"/>
        <v>1200</v>
      </c>
      <c r="K336" s="33">
        <f t="shared" si="575"/>
        <v>12955</v>
      </c>
      <c r="L336" s="33"/>
      <c r="M336" s="33">
        <f t="shared" si="575"/>
        <v>3</v>
      </c>
      <c r="N336" s="33">
        <f t="shared" si="575"/>
        <v>19</v>
      </c>
      <c r="O336" s="33">
        <f t="shared" si="575"/>
        <v>93</v>
      </c>
      <c r="P336" s="33"/>
      <c r="Q336" s="33"/>
      <c r="R336" s="33">
        <f t="shared" si="575"/>
        <v>193799</v>
      </c>
      <c r="S336" s="33">
        <f t="shared" si="575"/>
        <v>162516</v>
      </c>
      <c r="T336" s="33">
        <f t="shared" si="575"/>
        <v>31283</v>
      </c>
      <c r="U336" s="33"/>
      <c r="V336" s="33"/>
      <c r="W336" s="33">
        <f t="shared" si="575"/>
        <v>193799</v>
      </c>
      <c r="X336" s="33">
        <f t="shared" si="575"/>
        <v>162516</v>
      </c>
      <c r="Y336" s="33">
        <f t="shared" si="575"/>
        <v>31283</v>
      </c>
      <c r="Z336" s="33">
        <f t="shared" si="575"/>
        <v>0</v>
      </c>
      <c r="AA336" s="33">
        <f t="shared" si="575"/>
        <v>2000</v>
      </c>
      <c r="AB336" s="33">
        <f t="shared" si="575"/>
        <v>2000</v>
      </c>
      <c r="AC336" s="33">
        <f t="shared" si="575"/>
        <v>0</v>
      </c>
      <c r="AD336" s="33">
        <f t="shared" si="575"/>
        <v>2000</v>
      </c>
      <c r="AE336" s="33">
        <f t="shared" si="575"/>
        <v>0</v>
      </c>
      <c r="AF336" s="33">
        <f t="shared" si="575"/>
        <v>0</v>
      </c>
      <c r="AG336" s="33">
        <f t="shared" si="575"/>
        <v>0</v>
      </c>
      <c r="AH336" s="33">
        <f t="shared" si="575"/>
        <v>0</v>
      </c>
      <c r="AI336" s="33">
        <f t="shared" si="575"/>
        <v>2000</v>
      </c>
      <c r="AJ336" s="33">
        <f t="shared" si="575"/>
        <v>0</v>
      </c>
    </row>
    <row r="337" spans="1:36" ht="65.45" customHeight="1" x14ac:dyDescent="0.25">
      <c r="A337" s="5">
        <v>1</v>
      </c>
      <c r="B337" s="5" t="s">
        <v>271</v>
      </c>
      <c r="C337" s="9">
        <v>1</v>
      </c>
      <c r="D337" s="9">
        <v>12</v>
      </c>
      <c r="E337" s="9">
        <v>23</v>
      </c>
      <c r="F337" s="9"/>
      <c r="G337" s="9">
        <f>H337+I337+J337+K337</f>
        <v>30014</v>
      </c>
      <c r="H337" s="9">
        <v>28814</v>
      </c>
      <c r="I337" s="9"/>
      <c r="J337" s="9">
        <v>1200</v>
      </c>
      <c r="K337" s="9"/>
      <c r="L337" s="7">
        <v>2021</v>
      </c>
      <c r="M337" s="9">
        <v>1</v>
      </c>
      <c r="N337" s="5">
        <v>12</v>
      </c>
      <c r="O337" s="5">
        <v>34</v>
      </c>
      <c r="P337" s="8"/>
      <c r="Q337" s="8"/>
      <c r="R337" s="37">
        <f>S337+T337</f>
        <v>77256</v>
      </c>
      <c r="S337" s="37">
        <v>62256</v>
      </c>
      <c r="T337" s="37">
        <v>15000</v>
      </c>
      <c r="U337" s="7">
        <v>2024</v>
      </c>
      <c r="V337" s="7">
        <v>2</v>
      </c>
      <c r="W337" s="10">
        <f t="shared" si="551"/>
        <v>77256</v>
      </c>
      <c r="X337" s="9">
        <f t="shared" ref="X337:Y339" si="576">S337</f>
        <v>62256</v>
      </c>
      <c r="Y337" s="9">
        <f t="shared" si="576"/>
        <v>15000</v>
      </c>
      <c r="Z337" s="9"/>
      <c r="AA337" s="10">
        <f>AB337+AC337</f>
        <v>800</v>
      </c>
      <c r="AB337" s="10">
        <v>800</v>
      </c>
      <c r="AC337" s="10"/>
      <c r="AD337" s="10">
        <f t="shared" si="552"/>
        <v>800</v>
      </c>
      <c r="AE337" s="10"/>
      <c r="AF337" s="10"/>
      <c r="AG337" s="10"/>
      <c r="AH337" s="10"/>
      <c r="AI337" s="10">
        <f t="shared" si="553"/>
        <v>800</v>
      </c>
      <c r="AJ337" s="10"/>
    </row>
    <row r="338" spans="1:36" ht="54.6" customHeight="1" x14ac:dyDescent="0.25">
      <c r="A338" s="5">
        <v>2</v>
      </c>
      <c r="B338" s="5" t="s">
        <v>189</v>
      </c>
      <c r="C338" s="9">
        <v>1</v>
      </c>
      <c r="D338" s="9">
        <v>0</v>
      </c>
      <c r="E338" s="9">
        <v>29</v>
      </c>
      <c r="F338" s="9"/>
      <c r="G338" s="9">
        <f>H338+I338+J338+K338</f>
        <v>22877</v>
      </c>
      <c r="H338" s="9">
        <v>22877</v>
      </c>
      <c r="I338" s="9"/>
      <c r="J338" s="9"/>
      <c r="K338" s="9"/>
      <c r="L338" s="7">
        <v>2021</v>
      </c>
      <c r="M338" s="9">
        <v>1</v>
      </c>
      <c r="N338" s="4"/>
      <c r="O338" s="4">
        <v>30</v>
      </c>
      <c r="P338" s="8"/>
      <c r="Q338" s="83" t="s">
        <v>446</v>
      </c>
      <c r="R338" s="37">
        <f t="shared" ref="R338:R339" si="577">S338+T338</f>
        <v>54413</v>
      </c>
      <c r="S338" s="81">
        <v>48130</v>
      </c>
      <c r="T338" s="81">
        <v>6283</v>
      </c>
      <c r="U338" s="7">
        <v>2024</v>
      </c>
      <c r="V338" s="7">
        <v>1</v>
      </c>
      <c r="W338" s="10">
        <f t="shared" si="551"/>
        <v>54413</v>
      </c>
      <c r="X338" s="9">
        <f t="shared" si="576"/>
        <v>48130</v>
      </c>
      <c r="Y338" s="9">
        <f t="shared" si="576"/>
        <v>6283</v>
      </c>
      <c r="Z338" s="9"/>
      <c r="AA338" s="10">
        <f>AB338+AC338</f>
        <v>600</v>
      </c>
      <c r="AB338" s="10">
        <v>600</v>
      </c>
      <c r="AC338" s="10"/>
      <c r="AD338" s="10">
        <f t="shared" si="552"/>
        <v>600</v>
      </c>
      <c r="AE338" s="10"/>
      <c r="AF338" s="10"/>
      <c r="AG338" s="10"/>
      <c r="AH338" s="10"/>
      <c r="AI338" s="10">
        <f t="shared" si="553"/>
        <v>600</v>
      </c>
      <c r="AJ338" s="10"/>
    </row>
    <row r="339" spans="1:36" ht="76.150000000000006" customHeight="1" x14ac:dyDescent="0.25">
      <c r="A339" s="22">
        <v>3</v>
      </c>
      <c r="B339" s="5" t="s">
        <v>290</v>
      </c>
      <c r="C339" s="9">
        <v>1</v>
      </c>
      <c r="D339" s="9">
        <v>2</v>
      </c>
      <c r="E339" s="9">
        <v>17</v>
      </c>
      <c r="F339" s="9"/>
      <c r="G339" s="9">
        <f>H339+I339+J339+K339</f>
        <v>12955</v>
      </c>
      <c r="H339" s="9"/>
      <c r="I339" s="9"/>
      <c r="J339" s="9"/>
      <c r="K339" s="9">
        <v>12955</v>
      </c>
      <c r="L339" s="7">
        <v>2023</v>
      </c>
      <c r="M339" s="9">
        <v>1</v>
      </c>
      <c r="N339" s="5">
        <v>7</v>
      </c>
      <c r="O339" s="5">
        <v>29</v>
      </c>
      <c r="P339" s="8"/>
      <c r="Q339" s="8"/>
      <c r="R339" s="37">
        <f t="shared" si="577"/>
        <v>62130</v>
      </c>
      <c r="S339" s="116">
        <v>52130</v>
      </c>
      <c r="T339" s="116">
        <v>10000</v>
      </c>
      <c r="U339" s="7">
        <v>2025</v>
      </c>
      <c r="V339" s="7">
        <v>2</v>
      </c>
      <c r="W339" s="10">
        <f t="shared" si="551"/>
        <v>62130</v>
      </c>
      <c r="X339" s="9">
        <f t="shared" si="576"/>
        <v>52130</v>
      </c>
      <c r="Y339" s="9">
        <f t="shared" si="576"/>
        <v>10000</v>
      </c>
      <c r="Z339" s="9"/>
      <c r="AA339" s="10">
        <f>AB339+AC339</f>
        <v>600</v>
      </c>
      <c r="AB339" s="10">
        <v>600</v>
      </c>
      <c r="AC339" s="10"/>
      <c r="AD339" s="10">
        <f t="shared" si="552"/>
        <v>600</v>
      </c>
      <c r="AE339" s="10"/>
      <c r="AF339" s="10"/>
      <c r="AG339" s="10"/>
      <c r="AH339" s="10"/>
      <c r="AI339" s="10">
        <f t="shared" si="553"/>
        <v>600</v>
      </c>
      <c r="AJ339" s="10"/>
    </row>
    <row r="340" spans="1:36" ht="60.75" x14ac:dyDescent="0.25">
      <c r="A340" s="11" t="s">
        <v>282</v>
      </c>
      <c r="B340" s="47" t="s">
        <v>289</v>
      </c>
      <c r="C340" s="49">
        <f>C341+C342+C343+C344</f>
        <v>6</v>
      </c>
      <c r="D340" s="49">
        <f t="shared" ref="D340:M340" si="578">D341+D342+D343+D344</f>
        <v>22</v>
      </c>
      <c r="E340" s="49">
        <f t="shared" si="578"/>
        <v>77</v>
      </c>
      <c r="F340" s="49">
        <f t="shared" si="578"/>
        <v>0</v>
      </c>
      <c r="G340" s="49">
        <f t="shared" si="578"/>
        <v>86463</v>
      </c>
      <c r="H340" s="49">
        <f t="shared" si="578"/>
        <v>15204</v>
      </c>
      <c r="I340" s="49">
        <f t="shared" si="578"/>
        <v>0</v>
      </c>
      <c r="J340" s="49">
        <f t="shared" si="578"/>
        <v>900</v>
      </c>
      <c r="K340" s="49">
        <f t="shared" si="578"/>
        <v>70359</v>
      </c>
      <c r="L340" s="49">
        <f t="shared" si="578"/>
        <v>0</v>
      </c>
      <c r="M340" s="49">
        <f t="shared" si="578"/>
        <v>0</v>
      </c>
      <c r="N340" s="49"/>
      <c r="O340" s="49"/>
      <c r="P340" s="49"/>
      <c r="Q340" s="49"/>
      <c r="R340" s="49"/>
      <c r="S340" s="49"/>
      <c r="T340" s="49"/>
      <c r="U340" s="16"/>
      <c r="V340" s="49"/>
      <c r="W340" s="49"/>
      <c r="X340" s="49"/>
      <c r="Y340" s="49"/>
      <c r="Z340" s="49"/>
      <c r="AA340" s="49"/>
      <c r="AB340" s="49"/>
      <c r="AC340" s="49"/>
      <c r="AD340" s="49"/>
      <c r="AE340" s="49"/>
      <c r="AF340" s="49"/>
      <c r="AG340" s="49"/>
      <c r="AH340" s="49"/>
      <c r="AI340" s="49"/>
      <c r="AJ340" s="49"/>
    </row>
    <row r="341" spans="1:36" ht="20.25" x14ac:dyDescent="0.25">
      <c r="A341" s="47"/>
      <c r="B341" s="46" t="s">
        <v>29</v>
      </c>
      <c r="C341" s="49">
        <f>C349+C358</f>
        <v>4</v>
      </c>
      <c r="D341" s="49">
        <f t="shared" ref="D341:M341" si="579">D349+D358</f>
        <v>18</v>
      </c>
      <c r="E341" s="49">
        <f t="shared" si="579"/>
        <v>41</v>
      </c>
      <c r="F341" s="49">
        <f t="shared" si="579"/>
        <v>0</v>
      </c>
      <c r="G341" s="49">
        <f t="shared" si="579"/>
        <v>61043</v>
      </c>
      <c r="H341" s="49">
        <f t="shared" si="579"/>
        <v>0</v>
      </c>
      <c r="I341" s="49">
        <f t="shared" si="579"/>
        <v>0</v>
      </c>
      <c r="J341" s="49">
        <f t="shared" si="579"/>
        <v>900</v>
      </c>
      <c r="K341" s="49">
        <f t="shared" si="579"/>
        <v>60143</v>
      </c>
      <c r="L341" s="49">
        <f t="shared" si="579"/>
        <v>0</v>
      </c>
      <c r="M341" s="49">
        <f t="shared" si="579"/>
        <v>0</v>
      </c>
      <c r="N341" s="49"/>
      <c r="O341" s="49"/>
      <c r="P341" s="49"/>
      <c r="Q341" s="49"/>
      <c r="R341" s="49"/>
      <c r="S341" s="49"/>
      <c r="T341" s="49"/>
      <c r="U341" s="16"/>
      <c r="V341" s="49"/>
      <c r="W341" s="49"/>
      <c r="X341" s="49"/>
      <c r="Y341" s="49"/>
      <c r="Z341" s="49"/>
      <c r="AA341" s="49"/>
      <c r="AB341" s="49"/>
      <c r="AC341" s="49"/>
      <c r="AD341" s="49"/>
      <c r="AE341" s="49"/>
      <c r="AF341" s="49"/>
      <c r="AG341" s="49"/>
      <c r="AH341" s="49"/>
      <c r="AI341" s="49"/>
      <c r="AJ341" s="49"/>
    </row>
    <row r="342" spans="1:36" ht="20.25" x14ac:dyDescent="0.25">
      <c r="A342" s="47"/>
      <c r="B342" s="46" t="s">
        <v>37</v>
      </c>
      <c r="C342" s="49">
        <f>C346+C355</f>
        <v>2</v>
      </c>
      <c r="D342" s="49">
        <f t="shared" ref="D342:M342" si="580">D346+D355</f>
        <v>4</v>
      </c>
      <c r="E342" s="49">
        <f t="shared" si="580"/>
        <v>36</v>
      </c>
      <c r="F342" s="49">
        <f t="shared" si="580"/>
        <v>0</v>
      </c>
      <c r="G342" s="49">
        <f t="shared" si="580"/>
        <v>25420</v>
      </c>
      <c r="H342" s="49">
        <f t="shared" si="580"/>
        <v>15204</v>
      </c>
      <c r="I342" s="49">
        <f t="shared" si="580"/>
        <v>0</v>
      </c>
      <c r="J342" s="49">
        <f t="shared" si="580"/>
        <v>0</v>
      </c>
      <c r="K342" s="49">
        <f t="shared" si="580"/>
        <v>10216</v>
      </c>
      <c r="L342" s="49">
        <f t="shared" si="580"/>
        <v>0</v>
      </c>
      <c r="M342" s="49">
        <f t="shared" si="580"/>
        <v>0</v>
      </c>
      <c r="N342" s="49"/>
      <c r="O342" s="49"/>
      <c r="P342" s="49"/>
      <c r="Q342" s="49"/>
      <c r="R342" s="49"/>
      <c r="S342" s="49"/>
      <c r="T342" s="49"/>
      <c r="U342" s="16"/>
      <c r="V342" s="49"/>
      <c r="W342" s="49"/>
      <c r="X342" s="49"/>
      <c r="Y342" s="49"/>
      <c r="Z342" s="49"/>
      <c r="AA342" s="49"/>
      <c r="AB342" s="49"/>
      <c r="AC342" s="49"/>
      <c r="AD342" s="49"/>
      <c r="AE342" s="49"/>
      <c r="AF342" s="49"/>
      <c r="AG342" s="49"/>
      <c r="AH342" s="49"/>
      <c r="AI342" s="49"/>
      <c r="AJ342" s="49"/>
    </row>
    <row r="343" spans="1:36" ht="20.25" x14ac:dyDescent="0.25">
      <c r="A343" s="47"/>
      <c r="B343" s="46" t="s">
        <v>44</v>
      </c>
      <c r="C343" s="49">
        <v>0</v>
      </c>
      <c r="D343" s="49">
        <v>0</v>
      </c>
      <c r="E343" s="49">
        <v>0</v>
      </c>
      <c r="F343" s="49">
        <v>0</v>
      </c>
      <c r="G343" s="49">
        <v>0</v>
      </c>
      <c r="H343" s="49">
        <v>0</v>
      </c>
      <c r="I343" s="49">
        <v>0</v>
      </c>
      <c r="J343" s="49">
        <v>0</v>
      </c>
      <c r="K343" s="49">
        <v>0</v>
      </c>
      <c r="L343" s="49">
        <v>0</v>
      </c>
      <c r="M343" s="49">
        <v>0</v>
      </c>
      <c r="N343" s="49"/>
      <c r="O343" s="49"/>
      <c r="P343" s="49"/>
      <c r="Q343" s="49"/>
      <c r="R343" s="49"/>
      <c r="S343" s="49"/>
      <c r="T343" s="49"/>
      <c r="U343" s="16"/>
      <c r="V343" s="49"/>
      <c r="W343" s="49"/>
      <c r="X343" s="49"/>
      <c r="Y343" s="49"/>
      <c r="Z343" s="49"/>
      <c r="AA343" s="49"/>
      <c r="AB343" s="49"/>
      <c r="AC343" s="49"/>
      <c r="AD343" s="49"/>
      <c r="AE343" s="49"/>
      <c r="AF343" s="49"/>
      <c r="AG343" s="49"/>
      <c r="AH343" s="49"/>
      <c r="AI343" s="49"/>
      <c r="AJ343" s="49"/>
    </row>
    <row r="344" spans="1:36" ht="20.25" x14ac:dyDescent="0.25">
      <c r="A344" s="47"/>
      <c r="B344" s="46" t="s">
        <v>267</v>
      </c>
      <c r="C344" s="49">
        <v>0</v>
      </c>
      <c r="D344" s="49">
        <v>0</v>
      </c>
      <c r="E344" s="49">
        <v>0</v>
      </c>
      <c r="F344" s="49">
        <v>0</v>
      </c>
      <c r="G344" s="49">
        <v>0</v>
      </c>
      <c r="H344" s="49">
        <v>0</v>
      </c>
      <c r="I344" s="49">
        <v>0</v>
      </c>
      <c r="J344" s="49">
        <v>0</v>
      </c>
      <c r="K344" s="49">
        <v>0</v>
      </c>
      <c r="L344" s="49">
        <v>0</v>
      </c>
      <c r="M344" s="49">
        <v>0</v>
      </c>
      <c r="N344" s="49"/>
      <c r="O344" s="49"/>
      <c r="P344" s="49"/>
      <c r="Q344" s="49"/>
      <c r="R344" s="49"/>
      <c r="S344" s="49"/>
      <c r="T344" s="49"/>
      <c r="U344" s="16"/>
      <c r="V344" s="49"/>
      <c r="W344" s="49"/>
      <c r="X344" s="49"/>
      <c r="Y344" s="49"/>
      <c r="Z344" s="49"/>
      <c r="AA344" s="49"/>
      <c r="AB344" s="49"/>
      <c r="AC344" s="49"/>
      <c r="AD344" s="49"/>
      <c r="AE344" s="49"/>
      <c r="AF344" s="49"/>
      <c r="AG344" s="49"/>
      <c r="AH344" s="49"/>
      <c r="AI344" s="49"/>
      <c r="AJ344" s="49"/>
    </row>
    <row r="345" spans="1:36" ht="41.25" customHeight="1" x14ac:dyDescent="0.25">
      <c r="A345" s="11" t="s">
        <v>17</v>
      </c>
      <c r="B345" s="47" t="s">
        <v>280</v>
      </c>
      <c r="C345" s="49">
        <f>C346</f>
        <v>1</v>
      </c>
      <c r="D345" s="49">
        <f t="shared" ref="D345:M346" si="581">D346</f>
        <v>4</v>
      </c>
      <c r="E345" s="49">
        <f t="shared" si="581"/>
        <v>19</v>
      </c>
      <c r="F345" s="49">
        <f t="shared" si="581"/>
        <v>0</v>
      </c>
      <c r="G345" s="49">
        <f t="shared" si="581"/>
        <v>15204</v>
      </c>
      <c r="H345" s="49">
        <f t="shared" si="581"/>
        <v>15204</v>
      </c>
      <c r="I345" s="49">
        <f t="shared" si="581"/>
        <v>0</v>
      </c>
      <c r="J345" s="49">
        <f t="shared" si="581"/>
        <v>0</v>
      </c>
      <c r="K345" s="49">
        <f t="shared" si="581"/>
        <v>0</v>
      </c>
      <c r="L345" s="49">
        <f t="shared" si="581"/>
        <v>0</v>
      </c>
      <c r="M345" s="49">
        <f t="shared" si="581"/>
        <v>0</v>
      </c>
      <c r="N345" s="49"/>
      <c r="O345" s="49"/>
      <c r="P345" s="49"/>
      <c r="Q345" s="49"/>
      <c r="R345" s="49"/>
      <c r="S345" s="49"/>
      <c r="T345" s="49"/>
      <c r="U345" s="16"/>
      <c r="V345" s="49"/>
      <c r="W345" s="49"/>
      <c r="X345" s="49"/>
      <c r="Y345" s="49"/>
      <c r="Z345" s="49"/>
      <c r="AA345" s="49"/>
      <c r="AB345" s="49"/>
      <c r="AC345" s="49"/>
      <c r="AD345" s="49"/>
      <c r="AE345" s="49"/>
      <c r="AF345" s="49"/>
      <c r="AG345" s="49"/>
      <c r="AH345" s="49"/>
      <c r="AI345" s="49"/>
      <c r="AJ345" s="49"/>
    </row>
    <row r="346" spans="1:36" ht="32.25" customHeight="1" x14ac:dyDescent="0.25">
      <c r="A346" s="11"/>
      <c r="B346" s="47" t="s">
        <v>37</v>
      </c>
      <c r="C346" s="33">
        <f>C347</f>
        <v>1</v>
      </c>
      <c r="D346" s="33">
        <f t="shared" si="581"/>
        <v>4</v>
      </c>
      <c r="E346" s="33">
        <f t="shared" si="581"/>
        <v>19</v>
      </c>
      <c r="F346" s="33">
        <f t="shared" si="581"/>
        <v>0</v>
      </c>
      <c r="G346" s="33">
        <f t="shared" si="581"/>
        <v>15204</v>
      </c>
      <c r="H346" s="33">
        <f t="shared" si="581"/>
        <v>15204</v>
      </c>
      <c r="I346" s="33">
        <f t="shared" si="581"/>
        <v>0</v>
      </c>
      <c r="J346" s="33">
        <f t="shared" si="581"/>
        <v>0</v>
      </c>
      <c r="K346" s="33">
        <f t="shared" si="581"/>
        <v>0</v>
      </c>
      <c r="L346" s="33"/>
      <c r="M346" s="33">
        <f t="shared" si="581"/>
        <v>0</v>
      </c>
      <c r="N346" s="33"/>
      <c r="O346" s="33"/>
      <c r="P346" s="33"/>
      <c r="Q346" s="33"/>
      <c r="R346" s="33"/>
      <c r="S346" s="33"/>
      <c r="T346" s="33"/>
      <c r="U346" s="20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</row>
    <row r="347" spans="1:36" ht="49.15" customHeight="1" x14ac:dyDescent="0.25">
      <c r="A347" s="22">
        <v>1</v>
      </c>
      <c r="B347" s="5" t="s">
        <v>191</v>
      </c>
      <c r="C347" s="18">
        <v>1</v>
      </c>
      <c r="D347" s="18">
        <v>4</v>
      </c>
      <c r="E347" s="18">
        <v>19</v>
      </c>
      <c r="F347" s="18"/>
      <c r="G347" s="18">
        <f>H347+I347+J347+K347</f>
        <v>15204</v>
      </c>
      <c r="H347" s="18">
        <v>15204</v>
      </c>
      <c r="I347" s="18"/>
      <c r="J347" s="18"/>
      <c r="K347" s="18"/>
      <c r="L347" s="5">
        <v>2021</v>
      </c>
      <c r="M347" s="18"/>
      <c r="N347" s="6"/>
      <c r="O347" s="6"/>
      <c r="P347" s="13"/>
      <c r="Q347" s="54"/>
      <c r="R347" s="72"/>
      <c r="S347" s="72"/>
      <c r="T347" s="72"/>
      <c r="U347" s="6"/>
      <c r="V347" s="22"/>
      <c r="W347" s="18"/>
      <c r="X347" s="18"/>
      <c r="Y347" s="18"/>
      <c r="Z347" s="18"/>
      <c r="AA347" s="10"/>
      <c r="AB347" s="29"/>
      <c r="AC347" s="29"/>
      <c r="AD347" s="10"/>
      <c r="AE347" s="29"/>
      <c r="AF347" s="29"/>
      <c r="AG347" s="29"/>
      <c r="AH347" s="29"/>
      <c r="AI347" s="29"/>
      <c r="AJ347" s="29"/>
    </row>
    <row r="348" spans="1:36" ht="40.5" customHeight="1" x14ac:dyDescent="0.25">
      <c r="A348" s="11" t="s">
        <v>24</v>
      </c>
      <c r="B348" s="47" t="s">
        <v>283</v>
      </c>
      <c r="C348" s="49">
        <f>C349+C355</f>
        <v>4</v>
      </c>
      <c r="D348" s="49">
        <f t="shared" ref="D348:M348" si="582">D349+D355</f>
        <v>16</v>
      </c>
      <c r="E348" s="49">
        <f t="shared" si="582"/>
        <v>58</v>
      </c>
      <c r="F348" s="49">
        <f t="shared" si="582"/>
        <v>0</v>
      </c>
      <c r="G348" s="49">
        <f t="shared" si="582"/>
        <v>67135</v>
      </c>
      <c r="H348" s="49">
        <f t="shared" si="582"/>
        <v>0</v>
      </c>
      <c r="I348" s="49">
        <f t="shared" si="582"/>
        <v>0</v>
      </c>
      <c r="J348" s="49">
        <f t="shared" si="582"/>
        <v>900</v>
      </c>
      <c r="K348" s="49">
        <f t="shared" si="582"/>
        <v>66235</v>
      </c>
      <c r="L348" s="49">
        <f t="shared" si="582"/>
        <v>0</v>
      </c>
      <c r="M348" s="49">
        <f t="shared" si="582"/>
        <v>0</v>
      </c>
      <c r="N348" s="49"/>
      <c r="O348" s="49"/>
      <c r="P348" s="49"/>
      <c r="Q348" s="49"/>
      <c r="R348" s="49"/>
      <c r="S348" s="49"/>
      <c r="T348" s="49"/>
      <c r="U348" s="16"/>
      <c r="V348" s="49"/>
      <c r="W348" s="49"/>
      <c r="X348" s="49"/>
      <c r="Y348" s="49"/>
      <c r="Z348" s="49"/>
      <c r="AA348" s="49"/>
      <c r="AB348" s="49"/>
      <c r="AC348" s="49"/>
      <c r="AD348" s="49"/>
      <c r="AE348" s="49"/>
      <c r="AF348" s="49"/>
      <c r="AG348" s="49"/>
      <c r="AH348" s="49"/>
      <c r="AI348" s="49"/>
      <c r="AJ348" s="49"/>
    </row>
    <row r="349" spans="1:36" ht="40.5" customHeight="1" x14ac:dyDescent="0.25">
      <c r="A349" s="11"/>
      <c r="B349" s="46" t="s">
        <v>29</v>
      </c>
      <c r="C349" s="33">
        <f>SUM(C350:C354)</f>
        <v>3</v>
      </c>
      <c r="D349" s="33">
        <f t="shared" ref="D349:K349" si="583">SUM(D350:D354)</f>
        <v>16</v>
      </c>
      <c r="E349" s="33">
        <f t="shared" si="583"/>
        <v>41</v>
      </c>
      <c r="F349" s="33">
        <f t="shared" si="583"/>
        <v>0</v>
      </c>
      <c r="G349" s="33">
        <f t="shared" si="583"/>
        <v>56919</v>
      </c>
      <c r="H349" s="33">
        <f t="shared" si="583"/>
        <v>0</v>
      </c>
      <c r="I349" s="33">
        <f t="shared" si="583"/>
        <v>0</v>
      </c>
      <c r="J349" s="33">
        <f t="shared" si="583"/>
        <v>900</v>
      </c>
      <c r="K349" s="33">
        <f t="shared" si="583"/>
        <v>56019</v>
      </c>
      <c r="L349" s="33"/>
      <c r="M349" s="33">
        <f>SUM(M350:M354)</f>
        <v>0</v>
      </c>
      <c r="N349" s="33"/>
      <c r="O349" s="33"/>
      <c r="P349" s="33"/>
      <c r="Q349" s="33"/>
      <c r="R349" s="33"/>
      <c r="S349" s="33"/>
      <c r="T349" s="33"/>
      <c r="U349" s="20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33"/>
      <c r="AJ349" s="33"/>
    </row>
    <row r="350" spans="1:36" ht="42" customHeight="1" x14ac:dyDescent="0.25">
      <c r="A350" s="5">
        <v>1</v>
      </c>
      <c r="B350" s="5" t="s">
        <v>193</v>
      </c>
      <c r="C350" s="18">
        <v>1</v>
      </c>
      <c r="D350" s="9">
        <v>8</v>
      </c>
      <c r="E350" s="9">
        <v>16</v>
      </c>
      <c r="F350" s="9"/>
      <c r="G350" s="9">
        <f>H350+I350+J350+K350</f>
        <v>25880</v>
      </c>
      <c r="H350" s="9">
        <v>0</v>
      </c>
      <c r="I350" s="9"/>
      <c r="J350" s="9">
        <v>900</v>
      </c>
      <c r="K350" s="9">
        <v>24980</v>
      </c>
      <c r="L350" s="9">
        <v>2023</v>
      </c>
      <c r="M350" s="9"/>
      <c r="N350" s="4"/>
      <c r="O350" s="4"/>
      <c r="P350" s="8"/>
      <c r="Q350" s="8"/>
      <c r="R350" s="37"/>
      <c r="S350" s="37"/>
      <c r="T350" s="37"/>
      <c r="U350" s="7"/>
      <c r="V350" s="4"/>
      <c r="W350" s="9"/>
      <c r="X350" s="9"/>
      <c r="Y350" s="9"/>
      <c r="Z350" s="9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</row>
    <row r="351" spans="1:36" ht="60.75" x14ac:dyDescent="0.25">
      <c r="A351" s="5">
        <v>2</v>
      </c>
      <c r="B351" s="5" t="s">
        <v>197</v>
      </c>
      <c r="C351" s="18">
        <v>1</v>
      </c>
      <c r="D351" s="9">
        <v>0</v>
      </c>
      <c r="E351" s="9">
        <v>8</v>
      </c>
      <c r="F351" s="9"/>
      <c r="G351" s="9">
        <f>H351+I351+J351+K351</f>
        <v>5285</v>
      </c>
      <c r="H351" s="9"/>
      <c r="I351" s="9"/>
      <c r="J351" s="9"/>
      <c r="K351" s="9">
        <v>5285</v>
      </c>
      <c r="L351" s="9">
        <v>2024</v>
      </c>
      <c r="M351" s="9"/>
      <c r="N351" s="4"/>
      <c r="O351" s="4"/>
      <c r="P351" s="8"/>
      <c r="Q351" s="8"/>
      <c r="R351" s="37"/>
      <c r="S351" s="37"/>
      <c r="T351" s="37"/>
      <c r="U351" s="7"/>
      <c r="V351" s="4"/>
      <c r="W351" s="9"/>
      <c r="X351" s="9"/>
      <c r="Y351" s="9"/>
      <c r="Z351" s="9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</row>
    <row r="352" spans="1:36" ht="42" customHeight="1" x14ac:dyDescent="0.25">
      <c r="A352" s="5">
        <v>3</v>
      </c>
      <c r="B352" s="5" t="s">
        <v>198</v>
      </c>
      <c r="C352" s="18">
        <v>1</v>
      </c>
      <c r="D352" s="9">
        <v>0</v>
      </c>
      <c r="E352" s="9" t="s">
        <v>192</v>
      </c>
      <c r="F352" s="9"/>
      <c r="G352" s="9"/>
      <c r="H352" s="9" t="s">
        <v>192</v>
      </c>
      <c r="I352" s="9"/>
      <c r="J352" s="9"/>
      <c r="K352" s="9"/>
      <c r="L352" s="9">
        <v>2024</v>
      </c>
      <c r="M352" s="9"/>
      <c r="N352" s="4"/>
      <c r="O352" s="4"/>
      <c r="P352" s="8"/>
      <c r="Q352" s="8"/>
      <c r="R352" s="37"/>
      <c r="S352" s="37"/>
      <c r="T352" s="37"/>
      <c r="U352" s="5"/>
      <c r="V352" s="4"/>
      <c r="W352" s="9"/>
      <c r="X352" s="9"/>
      <c r="Y352" s="9"/>
      <c r="Z352" s="9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</row>
    <row r="353" spans="1:36" ht="52.9" customHeight="1" x14ac:dyDescent="0.25">
      <c r="A353" s="5"/>
      <c r="B353" s="5" t="s">
        <v>199</v>
      </c>
      <c r="C353" s="9"/>
      <c r="D353" s="9">
        <v>0</v>
      </c>
      <c r="E353" s="9">
        <v>10</v>
      </c>
      <c r="F353" s="9"/>
      <c r="G353" s="9">
        <f>H353+I353+J353+K353</f>
        <v>6634</v>
      </c>
      <c r="H353" s="9">
        <v>0</v>
      </c>
      <c r="I353" s="9"/>
      <c r="J353" s="9"/>
      <c r="K353" s="9">
        <v>6634</v>
      </c>
      <c r="L353" s="9"/>
      <c r="M353" s="9"/>
      <c r="N353" s="4"/>
      <c r="O353" s="4"/>
      <c r="P353" s="8"/>
      <c r="Q353" s="8"/>
      <c r="R353" s="37"/>
      <c r="S353" s="37"/>
      <c r="T353" s="37"/>
      <c r="U353" s="5"/>
      <c r="V353" s="4"/>
      <c r="W353" s="9"/>
      <c r="X353" s="9"/>
      <c r="Y353" s="9"/>
      <c r="Z353" s="9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</row>
    <row r="354" spans="1:36" ht="33" customHeight="1" x14ac:dyDescent="0.25">
      <c r="A354" s="5"/>
      <c r="B354" s="5" t="s">
        <v>200</v>
      </c>
      <c r="C354" s="9"/>
      <c r="D354" s="9">
        <v>8</v>
      </c>
      <c r="E354" s="9">
        <v>7</v>
      </c>
      <c r="F354" s="9"/>
      <c r="G354" s="9">
        <f>H354+I354+J354+K354</f>
        <v>19120</v>
      </c>
      <c r="H354" s="9">
        <v>0</v>
      </c>
      <c r="I354" s="9"/>
      <c r="J354" s="9"/>
      <c r="K354" s="9">
        <v>19120</v>
      </c>
      <c r="L354" s="9"/>
      <c r="M354" s="9"/>
      <c r="N354" s="4"/>
      <c r="O354" s="4"/>
      <c r="P354" s="8"/>
      <c r="Q354" s="8"/>
      <c r="R354" s="37"/>
      <c r="S354" s="37"/>
      <c r="T354" s="37"/>
      <c r="U354" s="5"/>
      <c r="V354" s="4"/>
      <c r="W354" s="9"/>
      <c r="X354" s="9"/>
      <c r="Y354" s="9"/>
      <c r="Z354" s="9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</row>
    <row r="355" spans="1:36" ht="39.75" customHeight="1" x14ac:dyDescent="0.25">
      <c r="A355" s="5"/>
      <c r="B355" s="46" t="s">
        <v>37</v>
      </c>
      <c r="C355" s="33">
        <f>C356</f>
        <v>1</v>
      </c>
      <c r="D355" s="33">
        <f t="shared" ref="D355:M355" si="584">D356</f>
        <v>0</v>
      </c>
      <c r="E355" s="33">
        <f t="shared" si="584"/>
        <v>17</v>
      </c>
      <c r="F355" s="33">
        <f t="shared" si="584"/>
        <v>0</v>
      </c>
      <c r="G355" s="33">
        <f t="shared" si="584"/>
        <v>10216</v>
      </c>
      <c r="H355" s="33">
        <f t="shared" si="584"/>
        <v>0</v>
      </c>
      <c r="I355" s="33">
        <f t="shared" si="584"/>
        <v>0</v>
      </c>
      <c r="J355" s="33">
        <f t="shared" si="584"/>
        <v>0</v>
      </c>
      <c r="K355" s="33">
        <f t="shared" si="584"/>
        <v>10216</v>
      </c>
      <c r="L355" s="33"/>
      <c r="M355" s="33">
        <f t="shared" si="584"/>
        <v>0</v>
      </c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</row>
    <row r="356" spans="1:36" ht="51.6" customHeight="1" x14ac:dyDescent="0.25">
      <c r="A356" s="5">
        <v>1</v>
      </c>
      <c r="B356" s="5" t="s">
        <v>205</v>
      </c>
      <c r="C356" s="18">
        <v>1</v>
      </c>
      <c r="D356" s="9">
        <v>0</v>
      </c>
      <c r="E356" s="9">
        <v>17</v>
      </c>
      <c r="F356" s="9"/>
      <c r="G356" s="9">
        <f>H356+I356+J356+K356</f>
        <v>10216</v>
      </c>
      <c r="H356" s="9">
        <v>0</v>
      </c>
      <c r="I356" s="9"/>
      <c r="J356" s="9"/>
      <c r="K356" s="9">
        <v>10216</v>
      </c>
      <c r="L356" s="9">
        <v>2023</v>
      </c>
      <c r="M356" s="9"/>
      <c r="N356" s="4"/>
      <c r="O356" s="4"/>
      <c r="P356" s="8"/>
      <c r="Q356" s="8"/>
      <c r="R356" s="37"/>
      <c r="S356" s="37"/>
      <c r="T356" s="37"/>
      <c r="U356" s="5"/>
      <c r="V356" s="4"/>
      <c r="W356" s="9"/>
      <c r="X356" s="9"/>
      <c r="Y356" s="9"/>
      <c r="Z356" s="9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</row>
    <row r="357" spans="1:36" ht="28.5" customHeight="1" x14ac:dyDescent="0.25">
      <c r="A357" s="11" t="s">
        <v>27</v>
      </c>
      <c r="B357" s="47" t="s">
        <v>127</v>
      </c>
      <c r="C357" s="49">
        <f>C358</f>
        <v>1</v>
      </c>
      <c r="D357" s="49">
        <f t="shared" ref="D357:M357" si="585">D358</f>
        <v>2</v>
      </c>
      <c r="E357" s="49">
        <f t="shared" si="585"/>
        <v>0</v>
      </c>
      <c r="F357" s="49">
        <f t="shared" si="585"/>
        <v>0</v>
      </c>
      <c r="G357" s="49">
        <f t="shared" si="585"/>
        <v>4124</v>
      </c>
      <c r="H357" s="49">
        <f t="shared" si="585"/>
        <v>0</v>
      </c>
      <c r="I357" s="49">
        <f t="shared" si="585"/>
        <v>0</v>
      </c>
      <c r="J357" s="49">
        <f t="shared" si="585"/>
        <v>0</v>
      </c>
      <c r="K357" s="49">
        <f t="shared" si="585"/>
        <v>4124</v>
      </c>
      <c r="L357" s="49"/>
      <c r="M357" s="49">
        <f t="shared" si="585"/>
        <v>0</v>
      </c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  <c r="AA357" s="49"/>
      <c r="AB357" s="49"/>
      <c r="AC357" s="49"/>
      <c r="AD357" s="49"/>
      <c r="AE357" s="49"/>
      <c r="AF357" s="49"/>
      <c r="AG357" s="49"/>
      <c r="AH357" s="49"/>
      <c r="AI357" s="49"/>
      <c r="AJ357" s="49"/>
    </row>
    <row r="358" spans="1:36" ht="32.25" customHeight="1" x14ac:dyDescent="0.25">
      <c r="A358" s="5"/>
      <c r="B358" s="46" t="s">
        <v>29</v>
      </c>
      <c r="C358" s="33">
        <f>C360</f>
        <v>1</v>
      </c>
      <c r="D358" s="33">
        <f t="shared" ref="D358:M358" si="586">D360</f>
        <v>2</v>
      </c>
      <c r="E358" s="33">
        <f t="shared" si="586"/>
        <v>0</v>
      </c>
      <c r="F358" s="33">
        <f t="shared" si="586"/>
        <v>0</v>
      </c>
      <c r="G358" s="33">
        <f t="shared" si="586"/>
        <v>4124</v>
      </c>
      <c r="H358" s="33">
        <f t="shared" si="586"/>
        <v>0</v>
      </c>
      <c r="I358" s="33">
        <f t="shared" si="586"/>
        <v>0</v>
      </c>
      <c r="J358" s="33">
        <f t="shared" si="586"/>
        <v>0</v>
      </c>
      <c r="K358" s="33">
        <f t="shared" si="586"/>
        <v>4124</v>
      </c>
      <c r="L358" s="33"/>
      <c r="M358" s="33">
        <f t="shared" si="586"/>
        <v>0</v>
      </c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</row>
    <row r="359" spans="1:36" ht="35.25" customHeight="1" x14ac:dyDescent="0.25">
      <c r="A359" s="22">
        <v>1</v>
      </c>
      <c r="B359" s="5" t="s">
        <v>139</v>
      </c>
      <c r="C359" s="18"/>
      <c r="D359" s="18"/>
      <c r="E359" s="18"/>
      <c r="F359" s="18"/>
      <c r="G359" s="9">
        <f>H359+I359+J359+K359</f>
        <v>0</v>
      </c>
      <c r="H359" s="18"/>
      <c r="I359" s="18"/>
      <c r="J359" s="18"/>
      <c r="K359" s="18"/>
      <c r="L359" s="18"/>
      <c r="M359" s="18"/>
      <c r="N359" s="22"/>
      <c r="O359" s="22"/>
      <c r="P359" s="8"/>
      <c r="Q359" s="60"/>
      <c r="R359" s="82"/>
      <c r="S359" s="82"/>
      <c r="T359" s="82"/>
      <c r="U359" s="23"/>
      <c r="V359" s="22"/>
      <c r="W359" s="18"/>
      <c r="X359" s="18"/>
      <c r="Y359" s="18"/>
      <c r="Z359" s="18"/>
      <c r="AA359" s="64"/>
      <c r="AB359" s="64"/>
      <c r="AC359" s="64"/>
      <c r="AD359" s="64"/>
      <c r="AE359" s="64"/>
      <c r="AF359" s="64"/>
      <c r="AG359" s="64"/>
      <c r="AH359" s="64"/>
      <c r="AI359" s="64"/>
      <c r="AJ359" s="64"/>
    </row>
    <row r="360" spans="1:36" ht="33" customHeight="1" x14ac:dyDescent="0.25">
      <c r="A360" s="22"/>
      <c r="B360" s="5" t="s">
        <v>140</v>
      </c>
      <c r="C360" s="18">
        <v>1</v>
      </c>
      <c r="D360" s="18">
        <v>2</v>
      </c>
      <c r="E360" s="18">
        <v>0</v>
      </c>
      <c r="F360" s="18"/>
      <c r="G360" s="9">
        <f>H360+I360+J360+K360</f>
        <v>4124</v>
      </c>
      <c r="H360" s="18"/>
      <c r="I360" s="18"/>
      <c r="J360" s="18"/>
      <c r="K360" s="18">
        <v>4124</v>
      </c>
      <c r="L360" s="18">
        <v>2024</v>
      </c>
      <c r="M360" s="18"/>
      <c r="N360" s="22"/>
      <c r="O360" s="22"/>
      <c r="P360" s="8"/>
      <c r="Q360" s="60"/>
      <c r="R360" s="82"/>
      <c r="S360" s="82"/>
      <c r="T360" s="82"/>
      <c r="U360" s="23"/>
      <c r="V360" s="22"/>
      <c r="W360" s="18"/>
      <c r="X360" s="18"/>
      <c r="Y360" s="18"/>
      <c r="Z360" s="18"/>
      <c r="AA360" s="64"/>
      <c r="AB360" s="64"/>
      <c r="AC360" s="64"/>
      <c r="AD360" s="64"/>
      <c r="AE360" s="64"/>
      <c r="AF360" s="64"/>
      <c r="AG360" s="64"/>
      <c r="AH360" s="64"/>
      <c r="AI360" s="64"/>
      <c r="AJ360" s="64"/>
    </row>
    <row r="361" spans="1:36" ht="42" customHeight="1" x14ac:dyDescent="0.25">
      <c r="B361" s="31"/>
      <c r="M361" s="34"/>
      <c r="P361" s="31"/>
    </row>
    <row r="362" spans="1:36" ht="18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35"/>
      <c r="N362" s="1"/>
      <c r="O362" s="1"/>
      <c r="P362" s="2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</row>
    <row r="363" spans="1:36" ht="18.75" customHeight="1" x14ac:dyDescent="0.25">
      <c r="B363" s="31"/>
      <c r="M363" s="34"/>
      <c r="P363" s="31"/>
    </row>
    <row r="364" spans="1:36" ht="18.75" customHeight="1" x14ac:dyDescent="0.25">
      <c r="B364" s="31"/>
      <c r="M364" s="34"/>
      <c r="P364" s="31"/>
    </row>
    <row r="365" spans="1:36" ht="18.75" customHeight="1" x14ac:dyDescent="0.25">
      <c r="B365" s="31"/>
      <c r="M365" s="34"/>
      <c r="P365" s="31"/>
    </row>
    <row r="366" spans="1:36" ht="18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35"/>
      <c r="N366" s="1"/>
      <c r="O366" s="1"/>
      <c r="P366" s="2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</row>
    <row r="367" spans="1:36" ht="18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35"/>
      <c r="N367" s="1"/>
      <c r="O367" s="1"/>
      <c r="P367" s="2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</row>
    <row r="368" spans="1:36" ht="18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35"/>
      <c r="N368" s="1"/>
      <c r="O368" s="1"/>
      <c r="P368" s="2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</row>
    <row r="369" spans="1:36" ht="18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35"/>
      <c r="N369" s="1"/>
      <c r="O369" s="1"/>
      <c r="P369" s="2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</row>
    <row r="370" spans="1:36" ht="18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35"/>
      <c r="N370" s="1"/>
      <c r="O370" s="1"/>
      <c r="P370" s="2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</row>
    <row r="371" spans="1:36" ht="18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35"/>
      <c r="N371" s="1"/>
      <c r="O371" s="1"/>
      <c r="P371" s="2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</row>
    <row r="372" spans="1:36" ht="18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35"/>
      <c r="N372" s="1"/>
      <c r="O372" s="1"/>
      <c r="P372" s="2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</row>
    <row r="373" spans="1:36" ht="18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35"/>
      <c r="N373" s="1"/>
      <c r="O373" s="1"/>
      <c r="P373" s="2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</row>
    <row r="374" spans="1:36" ht="18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35"/>
      <c r="N374" s="1"/>
      <c r="O374" s="1"/>
      <c r="P374" s="2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</row>
    <row r="375" spans="1:36" ht="18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35"/>
      <c r="N375" s="1"/>
      <c r="O375" s="1"/>
      <c r="P375" s="2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</row>
    <row r="376" spans="1:36" ht="18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35"/>
      <c r="N376" s="1"/>
      <c r="O376" s="1"/>
      <c r="P376" s="2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</row>
    <row r="377" spans="1:36" ht="18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35"/>
      <c r="N377" s="1"/>
      <c r="O377" s="1"/>
      <c r="P377" s="2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</row>
    <row r="378" spans="1:36" ht="18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35"/>
      <c r="N378" s="1"/>
      <c r="O378" s="1"/>
      <c r="P378" s="2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</row>
    <row r="379" spans="1:36" ht="18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35"/>
      <c r="N379" s="1"/>
      <c r="O379" s="1"/>
      <c r="P379" s="2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</row>
    <row r="380" spans="1:36" ht="18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35"/>
      <c r="N380" s="1"/>
      <c r="O380" s="1"/>
      <c r="P380" s="2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</row>
    <row r="381" spans="1:36" ht="18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35"/>
      <c r="N381" s="1"/>
      <c r="O381" s="1"/>
      <c r="P381" s="2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</row>
    <row r="382" spans="1:36" ht="18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35"/>
      <c r="N382" s="1"/>
      <c r="O382" s="1"/>
      <c r="P382" s="2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</row>
    <row r="383" spans="1:36" ht="18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35"/>
      <c r="N383" s="1"/>
      <c r="O383" s="1"/>
      <c r="P383" s="2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</row>
    <row r="384" spans="1:36" ht="18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35"/>
      <c r="N384" s="1"/>
      <c r="O384" s="1"/>
      <c r="P384" s="2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</row>
    <row r="385" spans="1:36" ht="18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35"/>
      <c r="N385" s="1"/>
      <c r="O385" s="1"/>
      <c r="P385" s="2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</row>
    <row r="386" spans="1:36" ht="18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35"/>
      <c r="N386" s="1"/>
      <c r="O386" s="1"/>
      <c r="P386" s="2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</row>
    <row r="387" spans="1:36" ht="18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35"/>
      <c r="N387" s="1"/>
      <c r="O387" s="1"/>
      <c r="P387" s="2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</row>
    <row r="388" spans="1:36" ht="18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35"/>
      <c r="N388" s="1"/>
      <c r="O388" s="1"/>
      <c r="P388" s="2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</row>
    <row r="389" spans="1:36" ht="18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35"/>
      <c r="N389" s="1"/>
      <c r="O389" s="1"/>
      <c r="P389" s="2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</row>
    <row r="390" spans="1:36" ht="18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35"/>
      <c r="N390" s="1"/>
      <c r="O390" s="1"/>
      <c r="P390" s="2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</row>
    <row r="391" spans="1:36" ht="18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35"/>
      <c r="N391" s="1"/>
      <c r="O391" s="1"/>
      <c r="P391" s="2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</row>
    <row r="392" spans="1:36" ht="18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35"/>
      <c r="N392" s="1"/>
      <c r="O392" s="1"/>
      <c r="P392" s="2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</row>
    <row r="393" spans="1:36" ht="18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35"/>
      <c r="N393" s="1"/>
      <c r="O393" s="1"/>
      <c r="P393" s="2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</row>
    <row r="394" spans="1:36" ht="18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35"/>
      <c r="N394" s="1"/>
      <c r="O394" s="1"/>
      <c r="P394" s="2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</row>
    <row r="395" spans="1:36" ht="18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35"/>
      <c r="N395" s="1"/>
      <c r="O395" s="1"/>
      <c r="P395" s="2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</row>
    <row r="396" spans="1:36" ht="18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35"/>
      <c r="N396" s="1"/>
      <c r="O396" s="1"/>
      <c r="P396" s="2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</row>
    <row r="397" spans="1:36" ht="18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35"/>
      <c r="N397" s="1"/>
      <c r="O397" s="1"/>
      <c r="P397" s="2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</row>
    <row r="398" spans="1:36" ht="18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35"/>
      <c r="N398" s="1"/>
      <c r="O398" s="1"/>
      <c r="P398" s="2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</row>
    <row r="399" spans="1:36" ht="18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35"/>
      <c r="N399" s="1"/>
      <c r="O399" s="1"/>
      <c r="P399" s="2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</row>
    <row r="400" spans="1:36" ht="18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35"/>
      <c r="N400" s="1"/>
      <c r="O400" s="1"/>
      <c r="P400" s="2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</row>
    <row r="401" spans="1:36" ht="18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35"/>
      <c r="N401" s="1"/>
      <c r="O401" s="1"/>
      <c r="P401" s="2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</row>
    <row r="402" spans="1:36" ht="18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35"/>
      <c r="N402" s="1"/>
      <c r="O402" s="1"/>
      <c r="P402" s="2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</row>
    <row r="403" spans="1:36" ht="18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35"/>
      <c r="N403" s="1"/>
      <c r="O403" s="1"/>
      <c r="P403" s="2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</row>
    <row r="404" spans="1:36" ht="18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35"/>
      <c r="N404" s="1"/>
      <c r="O404" s="1"/>
      <c r="P404" s="2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</row>
    <row r="405" spans="1:36" ht="18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35"/>
      <c r="N405" s="1"/>
      <c r="O405" s="1"/>
      <c r="P405" s="2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</row>
    <row r="406" spans="1:36" ht="18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35"/>
      <c r="N406" s="1"/>
      <c r="O406" s="1"/>
      <c r="P406" s="2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</row>
    <row r="407" spans="1:36" ht="18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35"/>
      <c r="N407" s="1"/>
      <c r="O407" s="1"/>
      <c r="P407" s="2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</row>
    <row r="408" spans="1:36" ht="18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35"/>
      <c r="N408" s="1"/>
      <c r="O408" s="1"/>
      <c r="P408" s="2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</row>
    <row r="409" spans="1:36" ht="18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35"/>
      <c r="N409" s="1"/>
      <c r="O409" s="1"/>
      <c r="P409" s="2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</row>
    <row r="410" spans="1:36" ht="18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35"/>
      <c r="N410" s="1"/>
      <c r="O410" s="1"/>
      <c r="P410" s="2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</row>
    <row r="411" spans="1:36" ht="18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35"/>
      <c r="N411" s="1"/>
      <c r="O411" s="1"/>
      <c r="P411" s="2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</row>
    <row r="412" spans="1:36" ht="18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35"/>
      <c r="N412" s="1"/>
      <c r="O412" s="1"/>
      <c r="P412" s="2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</row>
    <row r="413" spans="1:36" ht="18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35"/>
      <c r="N413" s="1"/>
      <c r="O413" s="1"/>
      <c r="P413" s="2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</row>
    <row r="414" spans="1:36" ht="18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35"/>
      <c r="N414" s="1"/>
      <c r="O414" s="1"/>
      <c r="P414" s="2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</row>
    <row r="415" spans="1:36" ht="18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35"/>
      <c r="N415" s="1"/>
      <c r="O415" s="1"/>
      <c r="P415" s="2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</row>
    <row r="416" spans="1:36" ht="18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35"/>
      <c r="N416" s="1"/>
      <c r="O416" s="1"/>
      <c r="P416" s="2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</row>
    <row r="417" spans="1:36" ht="18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2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</row>
    <row r="418" spans="1:36" ht="18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2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</row>
    <row r="419" spans="1:36" ht="18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2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</row>
    <row r="420" spans="1:36" ht="18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2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</row>
    <row r="421" spans="1:36" ht="18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2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</row>
    <row r="422" spans="1:36" ht="18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2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</row>
    <row r="423" spans="1:36" ht="18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2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</row>
    <row r="424" spans="1:36" ht="18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2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</row>
    <row r="425" spans="1:36" ht="18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2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</row>
    <row r="426" spans="1:36" ht="18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2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</row>
    <row r="427" spans="1:36" ht="18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2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</row>
    <row r="428" spans="1:36" ht="18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2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</row>
    <row r="429" spans="1:36" ht="18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2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</row>
    <row r="430" spans="1:36" ht="18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2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</row>
    <row r="431" spans="1:36" ht="18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2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</row>
    <row r="432" spans="1:36" ht="18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2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</row>
    <row r="433" spans="1:36" ht="18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2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</row>
    <row r="434" spans="1:36" ht="18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2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</row>
    <row r="435" spans="1:36" ht="18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2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</row>
    <row r="436" spans="1:36" ht="18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2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</row>
    <row r="437" spans="1:36" ht="18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2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</row>
    <row r="438" spans="1:36" ht="18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2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</row>
    <row r="439" spans="1:36" ht="18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2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</row>
    <row r="440" spans="1:36" ht="18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2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</row>
    <row r="441" spans="1:36" ht="18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2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</row>
    <row r="442" spans="1:36" ht="18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2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</row>
    <row r="443" spans="1:36" ht="18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2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</row>
    <row r="444" spans="1:36" ht="18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2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</row>
    <row r="445" spans="1:36" ht="18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2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</row>
    <row r="446" spans="1:36" ht="18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2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</row>
    <row r="447" spans="1:36" ht="18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2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</row>
    <row r="448" spans="1:36" ht="18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2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</row>
    <row r="449" spans="1:36" ht="18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2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</row>
    <row r="450" spans="1:36" ht="18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2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</row>
    <row r="451" spans="1:36" ht="18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2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</row>
    <row r="452" spans="1:36" ht="18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2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</row>
    <row r="453" spans="1:36" ht="18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2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</row>
    <row r="454" spans="1:36" ht="18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2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</row>
    <row r="455" spans="1:36" ht="18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2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</row>
    <row r="456" spans="1:36" ht="18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2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</row>
    <row r="457" spans="1:36" ht="18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2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</row>
    <row r="458" spans="1:36" ht="18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2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</row>
    <row r="459" spans="1:36" ht="18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2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</row>
    <row r="460" spans="1:36" ht="18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2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</row>
    <row r="461" spans="1:36" ht="18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2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</row>
    <row r="462" spans="1:36" ht="18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2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</row>
    <row r="463" spans="1:36" ht="18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2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</row>
    <row r="464" spans="1:36" ht="18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2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</row>
    <row r="465" spans="1:36" ht="18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2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</row>
    <row r="466" spans="1:36" ht="18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2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</row>
    <row r="467" spans="1:36" ht="18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2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</row>
    <row r="468" spans="1:36" ht="18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2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</row>
    <row r="469" spans="1:36" ht="18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2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</row>
    <row r="470" spans="1:36" ht="18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2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</row>
    <row r="471" spans="1:36" ht="18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2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</row>
    <row r="472" spans="1:36" ht="18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2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</row>
    <row r="473" spans="1:36" ht="18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2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</row>
    <row r="474" spans="1:36" ht="18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2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</row>
    <row r="475" spans="1:36" ht="18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2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</row>
    <row r="476" spans="1:36" ht="18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2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</row>
    <row r="477" spans="1:36" ht="18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2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</row>
    <row r="478" spans="1:36" ht="18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2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</row>
    <row r="479" spans="1:36" ht="18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2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</row>
    <row r="480" spans="1:36" ht="18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2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</row>
    <row r="481" spans="1:36" ht="18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2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</row>
    <row r="482" spans="1:36" ht="18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2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</row>
    <row r="483" spans="1:36" ht="18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2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</row>
    <row r="484" spans="1:36" ht="18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2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</row>
    <row r="485" spans="1:36" ht="18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2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</row>
    <row r="486" spans="1:36" ht="18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2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</row>
    <row r="487" spans="1:36" ht="18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2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</row>
    <row r="488" spans="1:36" ht="18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2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</row>
    <row r="489" spans="1:36" ht="18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2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</row>
    <row r="490" spans="1:36" ht="18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2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</row>
    <row r="491" spans="1:36" ht="18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2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</row>
    <row r="492" spans="1:36" ht="18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2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</row>
    <row r="493" spans="1:36" ht="18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2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</row>
    <row r="494" spans="1:36" ht="18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2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</row>
    <row r="495" spans="1:36" ht="18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2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</row>
    <row r="496" spans="1:36" ht="18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2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</row>
    <row r="497" spans="1:36" ht="18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2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</row>
    <row r="498" spans="1:36" ht="18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2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</row>
    <row r="499" spans="1:36" ht="18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2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</row>
    <row r="500" spans="1:36" ht="18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2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</row>
    <row r="501" spans="1:36" ht="18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2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</row>
    <row r="502" spans="1:36" ht="18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2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</row>
    <row r="503" spans="1:36" ht="18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2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</row>
    <row r="504" spans="1:36" ht="18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2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</row>
    <row r="505" spans="1:36" ht="18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2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</row>
    <row r="506" spans="1:36" ht="18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2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</row>
    <row r="507" spans="1:36" ht="18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2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</row>
    <row r="508" spans="1:36" ht="18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2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</row>
    <row r="509" spans="1:36" ht="18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2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</row>
    <row r="510" spans="1:36" ht="18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2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</row>
    <row r="511" spans="1:36" ht="18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2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</row>
    <row r="512" spans="1:36" ht="18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2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</row>
    <row r="513" spans="1:36" ht="18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2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</row>
    <row r="514" spans="1:36" ht="18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2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</row>
    <row r="515" spans="1:36" ht="18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2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</row>
    <row r="516" spans="1:36" ht="18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2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</row>
    <row r="517" spans="1:36" ht="18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2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</row>
    <row r="518" spans="1:36" ht="18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2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</row>
    <row r="519" spans="1:36" ht="18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2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</row>
    <row r="520" spans="1:36" ht="18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2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</row>
    <row r="521" spans="1:36" ht="18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2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</row>
    <row r="522" spans="1:36" ht="18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2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</row>
    <row r="523" spans="1:36" ht="18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2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</row>
    <row r="524" spans="1:36" ht="18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2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</row>
    <row r="525" spans="1:36" ht="18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2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</row>
    <row r="526" spans="1:36" ht="18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2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</row>
    <row r="527" spans="1:36" ht="18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2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</row>
    <row r="528" spans="1:36" ht="18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2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</row>
    <row r="529" spans="1:36" ht="18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2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</row>
    <row r="530" spans="1:36" ht="18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2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</row>
    <row r="531" spans="1:36" ht="18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2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</row>
    <row r="532" spans="1:36" ht="18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2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</row>
    <row r="533" spans="1:36" ht="18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2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</row>
    <row r="534" spans="1:36" ht="18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2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</row>
    <row r="535" spans="1:36" ht="18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2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</row>
    <row r="536" spans="1:36" ht="18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2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</row>
    <row r="537" spans="1:36" ht="18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2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</row>
    <row r="538" spans="1:36" ht="18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2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</row>
    <row r="539" spans="1:36" ht="18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2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</row>
    <row r="540" spans="1:36" ht="18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2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</row>
    <row r="541" spans="1:36" ht="18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2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</row>
    <row r="542" spans="1:36" ht="18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2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</row>
    <row r="543" spans="1:36" ht="18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2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</row>
    <row r="544" spans="1:36" ht="18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2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</row>
    <row r="545" spans="1:36" ht="18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2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</row>
    <row r="546" spans="1:36" ht="18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2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</row>
    <row r="547" spans="1:36" ht="18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2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</row>
    <row r="548" spans="1:36" ht="18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2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</row>
    <row r="549" spans="1:36" ht="18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2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</row>
    <row r="550" spans="1:36" ht="18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2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</row>
    <row r="551" spans="1:36" ht="18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2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</row>
    <row r="552" spans="1:36" ht="18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2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</row>
    <row r="553" spans="1:36" ht="18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2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</row>
    <row r="554" spans="1:36" ht="18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2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</row>
    <row r="555" spans="1:36" ht="18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2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</row>
    <row r="556" spans="1:36" ht="18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2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</row>
    <row r="557" spans="1:36" ht="18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2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</row>
    <row r="558" spans="1:36" ht="18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2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</row>
    <row r="559" spans="1:36" ht="18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2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</row>
    <row r="560" spans="1:36" ht="18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2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</row>
    <row r="561" spans="1:36" ht="18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2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</row>
    <row r="562" spans="1:36" ht="18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2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</row>
    <row r="563" spans="1:36" ht="18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2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</row>
    <row r="564" spans="1:36" ht="18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2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</row>
    <row r="565" spans="1:36" ht="18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2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</row>
    <row r="566" spans="1:36" ht="18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2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</row>
    <row r="567" spans="1:36" ht="18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2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</row>
    <row r="568" spans="1:36" ht="18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2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</row>
    <row r="569" spans="1:36" ht="18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2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</row>
    <row r="570" spans="1:36" ht="18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2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</row>
    <row r="571" spans="1:36" ht="18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2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</row>
    <row r="572" spans="1:36" ht="18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2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</row>
    <row r="573" spans="1:36" ht="18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2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</row>
    <row r="574" spans="1:36" ht="18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2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</row>
    <row r="575" spans="1:36" ht="18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2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</row>
    <row r="576" spans="1:36" ht="18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2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</row>
    <row r="577" spans="1:36" ht="18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2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</row>
    <row r="578" spans="1:36" ht="18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2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</row>
    <row r="579" spans="1:36" ht="18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2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</row>
    <row r="580" spans="1:36" ht="18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2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</row>
    <row r="581" spans="1:36" ht="18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2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</row>
    <row r="582" spans="1:36" ht="18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2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</row>
    <row r="583" spans="1:36" ht="18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2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</row>
    <row r="584" spans="1:36" ht="18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2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</row>
    <row r="585" spans="1:36" ht="18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2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</row>
    <row r="586" spans="1:36" ht="18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2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</row>
    <row r="587" spans="1:36" ht="18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2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</row>
    <row r="588" spans="1:36" ht="18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2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</row>
    <row r="589" spans="1:36" ht="18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2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</row>
    <row r="590" spans="1:36" ht="18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2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</row>
    <row r="591" spans="1:36" ht="18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2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</row>
    <row r="592" spans="1:36" ht="18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2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</row>
    <row r="593" spans="1:36" ht="18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2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</row>
    <row r="594" spans="1:36" ht="18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2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</row>
    <row r="595" spans="1:36" ht="18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2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</row>
    <row r="596" spans="1:36" ht="18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2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</row>
    <row r="597" spans="1:36" ht="18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2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</row>
    <row r="598" spans="1:36" ht="18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2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</row>
    <row r="599" spans="1:36" ht="18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2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</row>
    <row r="600" spans="1:36" ht="18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2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</row>
    <row r="601" spans="1:36" ht="18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2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</row>
    <row r="602" spans="1:36" ht="18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2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</row>
    <row r="603" spans="1:36" ht="18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2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</row>
    <row r="604" spans="1:36" ht="18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2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</row>
    <row r="605" spans="1:36" ht="18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2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</row>
    <row r="606" spans="1:36" ht="18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2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</row>
    <row r="607" spans="1:36" ht="18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2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</row>
    <row r="608" spans="1:36" ht="18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2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</row>
    <row r="609" spans="1:36" ht="18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2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</row>
    <row r="610" spans="1:36" ht="18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2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</row>
    <row r="611" spans="1:36" ht="18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2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</row>
    <row r="612" spans="1:36" ht="18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2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</row>
    <row r="613" spans="1:36" ht="18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2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</row>
    <row r="614" spans="1:36" ht="18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2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</row>
    <row r="615" spans="1:36" ht="18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2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</row>
    <row r="616" spans="1:36" ht="18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2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</row>
    <row r="617" spans="1:36" ht="18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2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</row>
    <row r="618" spans="1:36" ht="18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2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</row>
    <row r="619" spans="1:36" ht="18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2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</row>
    <row r="620" spans="1:36" ht="18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2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</row>
    <row r="621" spans="1:36" ht="18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2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</row>
    <row r="622" spans="1:36" ht="18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2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</row>
    <row r="623" spans="1:36" ht="18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2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</row>
    <row r="624" spans="1:36" ht="18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2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</row>
    <row r="625" spans="1:36" ht="18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2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</row>
    <row r="626" spans="1:36" ht="18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2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</row>
    <row r="627" spans="1:36" ht="18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2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</row>
    <row r="628" spans="1:36" ht="18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2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</row>
    <row r="629" spans="1:36" ht="18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2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</row>
    <row r="630" spans="1:36" ht="18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2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</row>
    <row r="631" spans="1:36" ht="18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2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</row>
    <row r="632" spans="1:36" ht="18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2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</row>
    <row r="633" spans="1:36" ht="18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2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</row>
    <row r="634" spans="1:36" ht="18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2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</row>
    <row r="635" spans="1:36" ht="18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2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</row>
    <row r="636" spans="1:36" ht="18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2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</row>
    <row r="637" spans="1:36" ht="18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2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</row>
    <row r="638" spans="1:36" ht="18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2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</row>
    <row r="639" spans="1:36" ht="18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2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</row>
    <row r="640" spans="1:36" ht="18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2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</row>
    <row r="641" spans="1:36" ht="18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2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</row>
    <row r="642" spans="1:36" ht="18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2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</row>
    <row r="643" spans="1:36" ht="18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2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</row>
    <row r="644" spans="1:36" ht="18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2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</row>
    <row r="645" spans="1:36" ht="18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2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</row>
    <row r="646" spans="1:36" ht="18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2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</row>
    <row r="647" spans="1:36" ht="18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2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</row>
    <row r="648" spans="1:36" ht="18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2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</row>
    <row r="649" spans="1:36" ht="18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2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</row>
    <row r="650" spans="1:36" ht="18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2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</row>
    <row r="651" spans="1:36" ht="18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2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</row>
    <row r="652" spans="1:36" ht="18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2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</row>
    <row r="653" spans="1:36" ht="18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2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</row>
    <row r="654" spans="1:36" ht="18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2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</row>
    <row r="655" spans="1:36" ht="18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2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</row>
    <row r="656" spans="1:36" ht="18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2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</row>
    <row r="657" spans="1:36" ht="18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2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</row>
    <row r="658" spans="1:36" ht="18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2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</row>
    <row r="659" spans="1:36" ht="18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2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</row>
    <row r="660" spans="1:36" ht="18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2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</row>
    <row r="661" spans="1:36" ht="18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2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</row>
    <row r="662" spans="1:36" ht="18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2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</row>
    <row r="663" spans="1:36" ht="18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2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</row>
    <row r="664" spans="1:36" ht="18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2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</row>
    <row r="665" spans="1:36" ht="18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2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</row>
    <row r="666" spans="1:36" ht="18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2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</row>
    <row r="667" spans="1:36" ht="18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2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</row>
    <row r="668" spans="1:36" ht="18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2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</row>
    <row r="669" spans="1:36" ht="18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2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</row>
    <row r="670" spans="1:36" ht="18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2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</row>
    <row r="671" spans="1:36" ht="18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2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</row>
    <row r="672" spans="1:36" ht="18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2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</row>
    <row r="673" spans="1:36" ht="18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2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</row>
    <row r="674" spans="1:36" ht="18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2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</row>
    <row r="675" spans="1:36" ht="18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2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</row>
    <row r="676" spans="1:36" ht="18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2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</row>
    <row r="677" spans="1:36" ht="18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2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</row>
    <row r="678" spans="1:36" ht="18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2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</row>
    <row r="679" spans="1:36" ht="18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2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</row>
    <row r="680" spans="1:36" ht="18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2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</row>
    <row r="681" spans="1:36" ht="18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2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</row>
    <row r="682" spans="1:36" ht="18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2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</row>
    <row r="683" spans="1:36" ht="18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2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</row>
    <row r="684" spans="1:36" ht="18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2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</row>
    <row r="685" spans="1:36" ht="18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2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</row>
    <row r="686" spans="1:36" ht="18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2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</row>
    <row r="687" spans="1:36" ht="18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2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</row>
    <row r="688" spans="1:36" ht="18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2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</row>
    <row r="689" spans="1:36" ht="18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2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</row>
    <row r="690" spans="1:36" ht="18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2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</row>
    <row r="691" spans="1:36" ht="18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2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</row>
    <row r="692" spans="1:36" ht="18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2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</row>
    <row r="693" spans="1:36" ht="18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2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</row>
    <row r="694" spans="1:36" ht="18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2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</row>
    <row r="695" spans="1:36" ht="18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2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</row>
    <row r="696" spans="1:36" ht="18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2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</row>
    <row r="697" spans="1:36" ht="18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2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</row>
    <row r="698" spans="1:36" ht="18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2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</row>
    <row r="699" spans="1:36" ht="18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2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</row>
    <row r="700" spans="1:36" ht="18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2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</row>
    <row r="701" spans="1:36" ht="18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2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</row>
    <row r="702" spans="1:36" ht="18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2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</row>
    <row r="703" spans="1:36" ht="18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2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</row>
    <row r="704" spans="1:36" ht="18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2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</row>
    <row r="705" spans="1:36" ht="18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2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</row>
    <row r="706" spans="1:36" ht="18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2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</row>
    <row r="707" spans="1:36" ht="18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2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</row>
    <row r="708" spans="1:36" ht="18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2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</row>
    <row r="709" spans="1:36" ht="18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2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</row>
    <row r="710" spans="1:36" ht="18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2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</row>
    <row r="711" spans="1:36" ht="18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2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</row>
    <row r="712" spans="1:36" ht="18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2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</row>
    <row r="713" spans="1:36" ht="18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2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</row>
    <row r="714" spans="1:36" ht="18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2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</row>
    <row r="715" spans="1:36" ht="18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2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</row>
    <row r="716" spans="1:36" ht="18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2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</row>
    <row r="717" spans="1:36" ht="18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2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</row>
    <row r="718" spans="1:36" ht="18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2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</row>
    <row r="719" spans="1:36" ht="18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2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</row>
    <row r="720" spans="1:36" ht="18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2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</row>
    <row r="721" spans="1:36" ht="18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2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</row>
    <row r="722" spans="1:36" ht="18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2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</row>
    <row r="723" spans="1:36" ht="18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2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</row>
    <row r="724" spans="1:36" ht="18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2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</row>
    <row r="725" spans="1:36" ht="18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2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</row>
    <row r="726" spans="1:36" ht="18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2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</row>
    <row r="727" spans="1:36" ht="18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2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</row>
    <row r="728" spans="1:36" ht="18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2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</row>
    <row r="729" spans="1:36" ht="18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2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</row>
    <row r="730" spans="1:36" ht="18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2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</row>
    <row r="731" spans="1:36" ht="18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2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</row>
    <row r="732" spans="1:36" ht="18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2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</row>
    <row r="733" spans="1:36" ht="18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2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</row>
    <row r="734" spans="1:36" ht="18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2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</row>
    <row r="735" spans="1:36" ht="18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2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</row>
    <row r="736" spans="1:36" ht="18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2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</row>
    <row r="737" spans="1:36" ht="18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2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</row>
    <row r="738" spans="1:36" ht="18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2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</row>
    <row r="739" spans="1:36" ht="18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2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</row>
    <row r="740" spans="1:36" ht="18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2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</row>
    <row r="741" spans="1:36" ht="18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2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</row>
    <row r="742" spans="1:36" ht="18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2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</row>
    <row r="743" spans="1:36" ht="18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2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</row>
    <row r="744" spans="1:36" ht="18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2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</row>
    <row r="745" spans="1:36" ht="18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2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</row>
    <row r="746" spans="1:36" ht="18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2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</row>
    <row r="747" spans="1:36" ht="18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2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</row>
    <row r="748" spans="1:36" ht="18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2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</row>
    <row r="749" spans="1:36" ht="18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2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</row>
    <row r="750" spans="1:36" ht="18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2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</row>
    <row r="751" spans="1:36" ht="18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2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</row>
    <row r="752" spans="1:36" ht="18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2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</row>
    <row r="753" spans="1:36" ht="18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2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</row>
    <row r="754" spans="1:36" ht="18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2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</row>
    <row r="755" spans="1:36" ht="18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2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</row>
    <row r="756" spans="1:36" ht="18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2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</row>
    <row r="757" spans="1:36" ht="18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2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</row>
    <row r="758" spans="1:36" ht="18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2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</row>
    <row r="759" spans="1:36" ht="18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2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</row>
    <row r="760" spans="1:36" ht="18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2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</row>
    <row r="761" spans="1:36" ht="18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2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</row>
    <row r="762" spans="1:36" ht="18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2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</row>
    <row r="763" spans="1:36" ht="18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2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</row>
    <row r="764" spans="1:36" ht="18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2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</row>
    <row r="765" spans="1:36" ht="18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2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</row>
    <row r="766" spans="1:36" ht="18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2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</row>
    <row r="767" spans="1:36" ht="18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2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</row>
    <row r="768" spans="1:36" ht="18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2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</row>
    <row r="769" spans="1:36" ht="18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2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</row>
    <row r="770" spans="1:36" ht="18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2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</row>
    <row r="771" spans="1:36" ht="18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2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</row>
    <row r="772" spans="1:36" ht="18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2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</row>
    <row r="773" spans="1:36" ht="18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2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</row>
    <row r="774" spans="1:36" ht="18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2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</row>
    <row r="775" spans="1:36" ht="18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2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</row>
    <row r="776" spans="1:36" ht="18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2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</row>
    <row r="777" spans="1:36" ht="18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2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</row>
    <row r="778" spans="1:36" ht="18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2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</row>
    <row r="779" spans="1:36" ht="18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2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</row>
    <row r="780" spans="1:36" ht="18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2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</row>
    <row r="781" spans="1:36" ht="18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2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</row>
    <row r="782" spans="1:36" ht="18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2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</row>
    <row r="783" spans="1:36" ht="18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2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</row>
    <row r="784" spans="1:36" ht="18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2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</row>
    <row r="785" spans="1:36" ht="18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2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</row>
    <row r="786" spans="1:36" ht="18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2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</row>
    <row r="787" spans="1:36" ht="18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2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</row>
    <row r="788" spans="1:36" ht="18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2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</row>
    <row r="789" spans="1:36" ht="18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2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</row>
    <row r="790" spans="1:36" ht="18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2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</row>
    <row r="791" spans="1:36" ht="18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2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</row>
    <row r="792" spans="1:36" ht="18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2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</row>
    <row r="793" spans="1:36" ht="18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2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</row>
    <row r="794" spans="1:36" ht="18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2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</row>
    <row r="795" spans="1:36" ht="18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2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</row>
    <row r="796" spans="1:36" ht="18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2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</row>
    <row r="797" spans="1:36" ht="18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2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</row>
    <row r="798" spans="1:36" ht="18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2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</row>
    <row r="799" spans="1:36" ht="18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2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</row>
    <row r="800" spans="1:36" ht="18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2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</row>
    <row r="801" spans="1:36" ht="18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2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</row>
    <row r="802" spans="1:36" ht="18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2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</row>
    <row r="803" spans="1:36" ht="18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2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</row>
    <row r="804" spans="1:36" ht="18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2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</row>
    <row r="805" spans="1:36" ht="18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2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</row>
    <row r="806" spans="1:36" ht="18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2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</row>
    <row r="807" spans="1:36" ht="18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2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</row>
    <row r="808" spans="1:36" ht="18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2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</row>
    <row r="809" spans="1:36" ht="18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2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</row>
    <row r="810" spans="1:36" ht="18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2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</row>
    <row r="811" spans="1:36" ht="18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2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</row>
    <row r="812" spans="1:36" ht="18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2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</row>
    <row r="813" spans="1:36" ht="18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2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</row>
    <row r="814" spans="1:36" ht="18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2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</row>
    <row r="815" spans="1:36" ht="18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2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</row>
    <row r="816" spans="1:36" ht="18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2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</row>
    <row r="817" spans="1:36" ht="18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2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</row>
    <row r="818" spans="1:36" ht="18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2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</row>
    <row r="819" spans="1:36" ht="18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2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</row>
    <row r="820" spans="1:36" ht="18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2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</row>
    <row r="821" spans="1:36" ht="18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2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</row>
    <row r="822" spans="1:36" ht="18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2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</row>
    <row r="823" spans="1:36" ht="18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2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</row>
    <row r="824" spans="1:36" ht="18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2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</row>
    <row r="825" spans="1:36" ht="18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2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</row>
    <row r="826" spans="1:36" ht="18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2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</row>
    <row r="827" spans="1:36" ht="18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2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</row>
    <row r="828" spans="1:36" ht="18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2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</row>
    <row r="829" spans="1:36" ht="18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2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</row>
    <row r="830" spans="1:36" ht="18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2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</row>
    <row r="831" spans="1:36" ht="18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2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</row>
    <row r="832" spans="1:36" ht="18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2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</row>
    <row r="833" spans="1:36" ht="18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2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</row>
    <row r="834" spans="1:36" ht="18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2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</row>
    <row r="835" spans="1:36" ht="18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2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</row>
    <row r="836" spans="1:36" ht="18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2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</row>
    <row r="837" spans="1:36" ht="18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2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</row>
    <row r="838" spans="1:36" ht="18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2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</row>
    <row r="839" spans="1:36" ht="18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2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</row>
    <row r="840" spans="1:36" ht="18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2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</row>
    <row r="841" spans="1:36" ht="18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2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</row>
    <row r="842" spans="1:36" ht="18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2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</row>
    <row r="843" spans="1:36" ht="18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2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</row>
    <row r="844" spans="1:36" ht="18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2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</row>
    <row r="845" spans="1:36" ht="18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2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</row>
    <row r="846" spans="1:36" ht="18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2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</row>
    <row r="847" spans="1:36" ht="18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2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</row>
    <row r="848" spans="1:36" ht="18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2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</row>
    <row r="849" spans="1:36" ht="18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2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</row>
    <row r="850" spans="1:36" ht="18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2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</row>
    <row r="851" spans="1:36" ht="18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2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</row>
    <row r="852" spans="1:36" ht="18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2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</row>
    <row r="853" spans="1:36" ht="18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2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</row>
    <row r="854" spans="1:36" ht="18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2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</row>
    <row r="855" spans="1:36" ht="18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2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</row>
    <row r="856" spans="1:36" ht="18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2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</row>
    <row r="857" spans="1:36" ht="18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2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</row>
    <row r="858" spans="1:36" ht="18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2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</row>
    <row r="859" spans="1:36" ht="18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2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</row>
    <row r="860" spans="1:36" ht="18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2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</row>
    <row r="861" spans="1:36" ht="18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2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</row>
    <row r="862" spans="1:36" ht="18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2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</row>
    <row r="863" spans="1:36" ht="18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2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</row>
    <row r="864" spans="1:36" ht="18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2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</row>
    <row r="865" spans="1:36" ht="18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2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</row>
    <row r="866" spans="1:36" ht="18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2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</row>
    <row r="867" spans="1:36" ht="18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2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</row>
    <row r="868" spans="1:36" ht="18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2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</row>
    <row r="869" spans="1:36" ht="18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2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</row>
    <row r="870" spans="1:36" ht="18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2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</row>
    <row r="871" spans="1:36" ht="18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2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</row>
    <row r="872" spans="1:36" ht="18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2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</row>
    <row r="873" spans="1:36" ht="18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2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</row>
    <row r="874" spans="1:36" ht="18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2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</row>
    <row r="875" spans="1:36" ht="18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2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</row>
    <row r="876" spans="1:36" ht="18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2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</row>
    <row r="877" spans="1:36" ht="18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2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</row>
    <row r="878" spans="1:36" ht="18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2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</row>
    <row r="879" spans="1:36" ht="18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2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</row>
    <row r="880" spans="1:36" ht="18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2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</row>
    <row r="881" spans="1:36" ht="18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2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</row>
    <row r="882" spans="1:36" ht="18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2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</row>
    <row r="883" spans="1:36" ht="18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2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</row>
    <row r="884" spans="1:36" ht="18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2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</row>
    <row r="885" spans="1:36" ht="18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2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</row>
    <row r="886" spans="1:36" ht="18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2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</row>
    <row r="887" spans="1:36" ht="18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2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</row>
    <row r="888" spans="1:36" ht="18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2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</row>
    <row r="889" spans="1:36" ht="18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2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</row>
    <row r="890" spans="1:36" ht="18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2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</row>
    <row r="891" spans="1:36" ht="18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2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</row>
    <row r="892" spans="1:36" ht="18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2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</row>
    <row r="893" spans="1:36" ht="18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2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</row>
    <row r="894" spans="1:36" ht="18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2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</row>
    <row r="895" spans="1:36" ht="18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2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</row>
    <row r="896" spans="1:36" ht="18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2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</row>
    <row r="897" spans="1:36" ht="18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2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</row>
    <row r="898" spans="1:36" ht="18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2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</row>
    <row r="899" spans="1:36" ht="18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2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</row>
    <row r="900" spans="1:36" ht="18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2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</row>
    <row r="901" spans="1:36" ht="18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2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</row>
    <row r="902" spans="1:36" ht="18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2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</row>
    <row r="903" spans="1:36" ht="18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2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</row>
    <row r="904" spans="1:36" ht="18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2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</row>
    <row r="905" spans="1:36" ht="18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2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</row>
    <row r="906" spans="1:36" ht="18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2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</row>
    <row r="907" spans="1:36" ht="18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2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</row>
    <row r="908" spans="1:36" ht="18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2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</row>
    <row r="909" spans="1:36" ht="18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2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</row>
    <row r="910" spans="1:36" ht="18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2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</row>
    <row r="911" spans="1:36" ht="18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2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</row>
    <row r="912" spans="1:36" ht="18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2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</row>
    <row r="913" spans="1:36" ht="18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2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</row>
    <row r="914" spans="1:36" ht="18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2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</row>
    <row r="915" spans="1:36" ht="18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2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</row>
    <row r="916" spans="1:36" ht="18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2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</row>
    <row r="917" spans="1:36" ht="18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2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</row>
    <row r="918" spans="1:36" ht="18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2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</row>
    <row r="919" spans="1:36" ht="18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2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</row>
    <row r="920" spans="1:36" ht="18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2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</row>
    <row r="921" spans="1:36" ht="18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2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</row>
    <row r="922" spans="1:36" ht="18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2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</row>
    <row r="923" spans="1:36" ht="18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2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</row>
    <row r="924" spans="1:36" ht="18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2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</row>
    <row r="925" spans="1:36" ht="18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2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</row>
    <row r="926" spans="1:36" ht="18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2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</row>
    <row r="927" spans="1:36" ht="18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2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</row>
    <row r="928" spans="1:36" ht="18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2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</row>
    <row r="929" spans="1:36" ht="18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2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</row>
    <row r="930" spans="1:36" ht="18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2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</row>
    <row r="931" spans="1:36" ht="18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2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</row>
    <row r="932" spans="1:36" ht="18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2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</row>
    <row r="933" spans="1:36" ht="18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2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</row>
    <row r="934" spans="1:36" ht="18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2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</row>
    <row r="935" spans="1:36" ht="18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2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</row>
    <row r="936" spans="1:36" ht="18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2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</row>
    <row r="937" spans="1:36" ht="18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2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</row>
    <row r="938" spans="1:36" ht="18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2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</row>
    <row r="939" spans="1:36" ht="18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2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</row>
    <row r="940" spans="1:36" ht="18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2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</row>
    <row r="941" spans="1:36" ht="18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2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</row>
    <row r="942" spans="1:36" ht="18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2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</row>
    <row r="943" spans="1:36" ht="18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2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</row>
    <row r="944" spans="1:36" ht="18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2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</row>
    <row r="945" spans="1:36" ht="18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2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</row>
    <row r="946" spans="1:36" ht="18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2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</row>
    <row r="947" spans="1:36" ht="18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2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</row>
    <row r="948" spans="1:36" ht="18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2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</row>
    <row r="949" spans="1:36" ht="18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2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</row>
    <row r="950" spans="1:36" ht="18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2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</row>
    <row r="951" spans="1:36" ht="18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2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</row>
    <row r="952" spans="1:36" ht="18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2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</row>
    <row r="953" spans="1:36" ht="18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2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</row>
    <row r="954" spans="1:36" ht="18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2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</row>
    <row r="955" spans="1:36" ht="18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2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</row>
    <row r="956" spans="1:36" ht="18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2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</row>
    <row r="957" spans="1:36" ht="18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2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</row>
    <row r="958" spans="1:36" ht="18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2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</row>
    <row r="959" spans="1:36" ht="18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2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</row>
    <row r="960" spans="1:36" ht="18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2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</row>
    <row r="961" spans="1:36" ht="18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2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</row>
    <row r="962" spans="1:36" ht="18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2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</row>
    <row r="963" spans="1:36" ht="18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2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</row>
    <row r="964" spans="1:36" ht="18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2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</row>
    <row r="965" spans="1:36" ht="18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2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</row>
    <row r="966" spans="1:36" ht="18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2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</row>
    <row r="967" spans="1:36" ht="18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2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</row>
    <row r="968" spans="1:36" ht="18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2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</row>
    <row r="969" spans="1:36" ht="18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2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</row>
    <row r="970" spans="1:36" ht="18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2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</row>
    <row r="971" spans="1:36" ht="18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2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</row>
    <row r="972" spans="1:36" ht="18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2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</row>
    <row r="973" spans="1:36" ht="18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2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</row>
    <row r="974" spans="1:36" ht="18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2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</row>
    <row r="975" spans="1:36" ht="18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2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</row>
    <row r="976" spans="1:36" ht="18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2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</row>
    <row r="977" spans="1:36" ht="18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2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</row>
    <row r="978" spans="1:36" ht="18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2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</row>
    <row r="979" spans="1:36" ht="18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2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</row>
    <row r="980" spans="1:36" ht="18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2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</row>
    <row r="981" spans="1:36" ht="18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2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</row>
    <row r="982" spans="1:36" ht="18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2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</row>
    <row r="983" spans="1:36" ht="18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2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</row>
    <row r="984" spans="1:36" ht="18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2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</row>
    <row r="985" spans="1:36" ht="18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2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</row>
    <row r="986" spans="1:36" ht="18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2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</row>
    <row r="987" spans="1:36" ht="18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2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</row>
    <row r="988" spans="1:36" ht="18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2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</row>
    <row r="989" spans="1:36" ht="18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2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</row>
    <row r="990" spans="1:36" ht="18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2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</row>
    <row r="991" spans="1:36" ht="18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2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</row>
    <row r="992" spans="1:36" ht="18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2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</row>
    <row r="993" spans="1:36" ht="18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2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</row>
    <row r="994" spans="1:36" ht="18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2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</row>
    <row r="995" spans="1:36" ht="18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2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</row>
    <row r="996" spans="1:36" ht="18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2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</row>
    <row r="997" spans="1:36" ht="18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2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</row>
    <row r="998" spans="1:36" ht="18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2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</row>
    <row r="999" spans="1:36" ht="18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2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</row>
    <row r="1000" spans="1:36" ht="18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2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</row>
    <row r="1001" spans="1:36" ht="18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2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</row>
    <row r="1002" spans="1:36" ht="18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2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</row>
    <row r="1003" spans="1:36" ht="18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2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</row>
    <row r="1004" spans="1:36" ht="18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2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</row>
    <row r="1005" spans="1:36" ht="18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2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</row>
    <row r="1006" spans="1:36" ht="18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2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</row>
    <row r="1007" spans="1:36" ht="18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2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</row>
    <row r="1008" spans="1:36" ht="18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2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</row>
    <row r="1009" spans="1:36" ht="18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2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</row>
    <row r="1010" spans="1:36" ht="18.75" customHeight="1" x14ac:dyDescent="0.25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2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</row>
    <row r="1011" spans="1:36" ht="18.75" customHeight="1" x14ac:dyDescent="0.25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2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</row>
    <row r="1012" spans="1:36" ht="18.75" customHeight="1" x14ac:dyDescent="0.25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2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</row>
    <row r="1013" spans="1:36" ht="18.75" customHeight="1" x14ac:dyDescent="0.25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2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</row>
    <row r="1014" spans="1:36" ht="18.75" customHeight="1" x14ac:dyDescent="0.25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2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</row>
    <row r="1015" spans="1:36" ht="18.75" customHeight="1" x14ac:dyDescent="0.25">
      <c r="A1015" s="1"/>
      <c r="B1015" s="2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2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</row>
    <row r="1016" spans="1:36" ht="18.75" customHeight="1" x14ac:dyDescent="0.25">
      <c r="A1016" s="1"/>
      <c r="B1016" s="2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2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</row>
  </sheetData>
  <mergeCells count="37">
    <mergeCell ref="E7:E8"/>
    <mergeCell ref="F7:F8"/>
    <mergeCell ref="H7:K7"/>
    <mergeCell ref="N6:P6"/>
    <mergeCell ref="M5:AC5"/>
    <mergeCell ref="AA6:AC6"/>
    <mergeCell ref="AA7:AA8"/>
    <mergeCell ref="AB7:AC7"/>
    <mergeCell ref="A1:AJ1"/>
    <mergeCell ref="A2:AJ2"/>
    <mergeCell ref="A3:AJ3"/>
    <mergeCell ref="A5:A8"/>
    <mergeCell ref="B5:B8"/>
    <mergeCell ref="C5:L5"/>
    <mergeCell ref="C6:F6"/>
    <mergeCell ref="G6:K6"/>
    <mergeCell ref="L6:L8"/>
    <mergeCell ref="G7:G8"/>
    <mergeCell ref="C7:C8"/>
    <mergeCell ref="D7:D8"/>
    <mergeCell ref="N7:N8"/>
    <mergeCell ref="O7:O8"/>
    <mergeCell ref="M6:M8"/>
    <mergeCell ref="P7:P8"/>
    <mergeCell ref="AB4:AC4"/>
    <mergeCell ref="AD5:AJ5"/>
    <mergeCell ref="AE6:AJ7"/>
    <mergeCell ref="AD6:AD8"/>
    <mergeCell ref="Q7:Q8"/>
    <mergeCell ref="W6:Z6"/>
    <mergeCell ref="R7:R8"/>
    <mergeCell ref="S7:T7"/>
    <mergeCell ref="Q6:T6"/>
    <mergeCell ref="U6:U8"/>
    <mergeCell ref="W7:W8"/>
    <mergeCell ref="X7:Z7"/>
    <mergeCell ref="V6:V8"/>
  </mergeCells>
  <conditionalFormatting sqref="R180">
    <cfRule type="cellIs" dxfId="0" priority="2" operator="equal">
      <formula>0</formula>
    </cfRule>
  </conditionalFormatting>
  <printOptions horizontalCentered="1"/>
  <pageMargins left="0" right="0" top="0.5" bottom="0.5" header="0.3" footer="0.3"/>
  <pageSetup paperSize="9" scale="50" orientation="landscape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Phụ luc</vt:lpstr>
      <vt:lpstr>'Phụ luc'!Print_Titles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</cp:lastModifiedBy>
  <cp:lastPrinted>2023-11-10T10:14:04Z</cp:lastPrinted>
  <dcterms:created xsi:type="dcterms:W3CDTF">2022-10-04T08:27:24Z</dcterms:created>
  <dcterms:modified xsi:type="dcterms:W3CDTF">2023-11-15T07:22:57Z</dcterms:modified>
</cp:coreProperties>
</file>