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0" yWindow="0" windowWidth="20490" windowHeight="7740" tabRatio="802" activeTab="2"/>
  </bookViews>
  <sheets>
    <sheet name="PL1-TH" sheetId="29" r:id="rId1"/>
    <sheet name="PL2 PAVon" sheetId="21" r:id="rId2"/>
    <sheet name="PL3-PA DA" sheetId="12" r:id="rId3"/>
  </sheets>
  <externalReferences>
    <externalReference r:id="rId4"/>
    <externalReference r:id="rId5"/>
  </externalReferences>
  <definedNames>
    <definedName name="_xlnm._FilterDatabase" localSheetId="2" hidden="1">'PL3-PA DA'!$C$1:$C$625</definedName>
    <definedName name="_xlnm.Print_Area" localSheetId="0">'PL1-TH'!$A$1:$D$26</definedName>
    <definedName name="_xlnm.Print_Titles" localSheetId="0">'PL1-TH'!$8:$9</definedName>
    <definedName name="_xlnm.Print_Titles" localSheetId="1">'PL2 PAVon'!$7:$12</definedName>
    <definedName name="_xlnm.Print_Titles" localSheetId="2">'PL3-PA DA'!$8:$12</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3" i="29" l="1"/>
  <c r="E46" i="12"/>
  <c r="E16" i="12" s="1"/>
  <c r="F46" i="12"/>
  <c r="F16" i="12" s="1"/>
  <c r="G46" i="12"/>
  <c r="G16" i="12" s="1"/>
  <c r="H46" i="12"/>
  <c r="H16" i="12" s="1"/>
  <c r="I46" i="12"/>
  <c r="I16" i="12" s="1"/>
  <c r="J46" i="12"/>
  <c r="J16" i="12" s="1"/>
  <c r="E49" i="12"/>
  <c r="E48" i="12" s="1"/>
  <c r="E62" i="12"/>
  <c r="E61" i="12" s="1"/>
  <c r="F62" i="12"/>
  <c r="F61" i="12" s="1"/>
  <c r="G62" i="12"/>
  <c r="G61" i="12" s="1"/>
  <c r="I62" i="12"/>
  <c r="I61" i="12" s="1"/>
  <c r="J62" i="12"/>
  <c r="J61" i="12" s="1"/>
  <c r="E67" i="12"/>
  <c r="E66" i="12" s="1"/>
  <c r="F67" i="12"/>
  <c r="F66" i="12" s="1"/>
  <c r="G67" i="12"/>
  <c r="G66" i="12" s="1"/>
  <c r="H67" i="12"/>
  <c r="H66" i="12" s="1"/>
  <c r="I67" i="12"/>
  <c r="I66" i="12" s="1"/>
  <c r="E73" i="12"/>
  <c r="E72" i="12" s="1"/>
  <c r="F73" i="12"/>
  <c r="F72" i="12" s="1"/>
  <c r="G73" i="12"/>
  <c r="G72" i="12" s="1"/>
  <c r="H73" i="12"/>
  <c r="H72" i="12" s="1"/>
  <c r="I73" i="12"/>
  <c r="I72" i="12" s="1"/>
  <c r="E77" i="12"/>
  <c r="E76" i="12" s="1"/>
  <c r="G77" i="12"/>
  <c r="G76" i="12" s="1"/>
  <c r="H77" i="12"/>
  <c r="H76" i="12" s="1"/>
  <c r="I77" i="12"/>
  <c r="I76" i="12" s="1"/>
  <c r="J77" i="12"/>
  <c r="J76" i="12" s="1"/>
  <c r="E86" i="12"/>
  <c r="E85" i="12" s="1"/>
  <c r="E84" i="12" s="1"/>
  <c r="F86" i="12"/>
  <c r="F85" i="12" s="1"/>
  <c r="F84" i="12" s="1"/>
  <c r="G86" i="12"/>
  <c r="G85" i="12" s="1"/>
  <c r="G84" i="12" s="1"/>
  <c r="I86" i="12"/>
  <c r="I85" i="12" s="1"/>
  <c r="I84" i="12" s="1"/>
  <c r="J86" i="12"/>
  <c r="J85" i="12" s="1"/>
  <c r="J84" i="12" s="1"/>
  <c r="H87" i="12"/>
  <c r="H86" i="12" s="1"/>
  <c r="H85" i="12" s="1"/>
  <c r="H84" i="12" s="1"/>
  <c r="E90" i="12"/>
  <c r="G90" i="12"/>
  <c r="H90" i="12"/>
  <c r="I90" i="12"/>
  <c r="J90" i="12"/>
  <c r="E95" i="12"/>
  <c r="G95" i="12"/>
  <c r="H95" i="12"/>
  <c r="I95" i="12"/>
  <c r="J95" i="12"/>
  <c r="E100" i="12"/>
  <c r="F100" i="12"/>
  <c r="G100" i="12"/>
  <c r="I100" i="12"/>
  <c r="J100" i="12"/>
  <c r="E106" i="12"/>
  <c r="F106" i="12"/>
  <c r="G106" i="12"/>
  <c r="I106" i="12"/>
  <c r="J106" i="12"/>
  <c r="E109" i="12"/>
  <c r="F109" i="12"/>
  <c r="G109" i="12"/>
  <c r="I109" i="12"/>
  <c r="J109" i="12"/>
  <c r="E120" i="12"/>
  <c r="F120" i="12"/>
  <c r="G120" i="12"/>
  <c r="I120" i="12"/>
  <c r="J120" i="12"/>
  <c r="E124" i="12"/>
  <c r="F124" i="12"/>
  <c r="G124" i="12"/>
  <c r="I124" i="12"/>
  <c r="J124" i="12"/>
  <c r="E133" i="12"/>
  <c r="F133" i="12"/>
  <c r="G133" i="12"/>
  <c r="H133" i="12"/>
  <c r="I133" i="12"/>
  <c r="E135" i="12"/>
  <c r="F135" i="12"/>
  <c r="G135" i="12"/>
  <c r="H135" i="12"/>
  <c r="I135" i="12"/>
  <c r="E137" i="12"/>
  <c r="F137" i="12"/>
  <c r="G137" i="12"/>
  <c r="H137" i="12"/>
  <c r="I137" i="12"/>
  <c r="E141" i="12"/>
  <c r="F141" i="12"/>
  <c r="G141" i="12"/>
  <c r="H141" i="12"/>
  <c r="I141" i="12"/>
  <c r="E145" i="12"/>
  <c r="F145" i="12"/>
  <c r="G145" i="12"/>
  <c r="H145" i="12"/>
  <c r="I145" i="12"/>
  <c r="E152" i="12"/>
  <c r="F152" i="12"/>
  <c r="G152" i="12"/>
  <c r="H152" i="12"/>
  <c r="I152" i="12"/>
  <c r="E163" i="12"/>
  <c r="F163" i="12"/>
  <c r="G163" i="12"/>
  <c r="H163" i="12"/>
  <c r="I163" i="12"/>
  <c r="E170" i="12"/>
  <c r="F170" i="12"/>
  <c r="G170" i="12"/>
  <c r="H170" i="12"/>
  <c r="I170" i="12"/>
  <c r="E176" i="12"/>
  <c r="F176" i="12"/>
  <c r="G176" i="12"/>
  <c r="H176" i="12"/>
  <c r="I176" i="12"/>
  <c r="E188" i="12"/>
  <c r="F188" i="12"/>
  <c r="G188" i="12"/>
  <c r="H188" i="12"/>
  <c r="I188" i="12"/>
  <c r="E190" i="12"/>
  <c r="F190" i="12"/>
  <c r="G190" i="12"/>
  <c r="H190" i="12"/>
  <c r="I190" i="12"/>
  <c r="E198" i="12"/>
  <c r="F198" i="12"/>
  <c r="G198" i="12"/>
  <c r="H198" i="12"/>
  <c r="I198" i="12"/>
  <c r="E204" i="12"/>
  <c r="F204" i="12"/>
  <c r="G204" i="12"/>
  <c r="H204" i="12"/>
  <c r="I204" i="12"/>
  <c r="E208" i="12"/>
  <c r="F208" i="12"/>
  <c r="G208" i="12"/>
  <c r="H208" i="12"/>
  <c r="I208" i="12"/>
  <c r="E213" i="12"/>
  <c r="F213" i="12"/>
  <c r="G213" i="12"/>
  <c r="H213" i="12"/>
  <c r="I213" i="12"/>
  <c r="E218" i="12"/>
  <c r="F218" i="12"/>
  <c r="G218" i="12"/>
  <c r="I218" i="12"/>
  <c r="J218" i="12"/>
  <c r="E221" i="12"/>
  <c r="F221" i="12"/>
  <c r="G221" i="12"/>
  <c r="I221" i="12"/>
  <c r="J221" i="12"/>
  <c r="E228" i="12"/>
  <c r="E227" i="12" s="1"/>
  <c r="F228" i="12"/>
  <c r="F227" i="12" s="1"/>
  <c r="G228" i="12"/>
  <c r="G227" i="12" s="1"/>
  <c r="H228" i="12"/>
  <c r="H227" i="12" s="1"/>
  <c r="I228" i="12"/>
  <c r="I227" i="12" s="1"/>
  <c r="E231" i="12"/>
  <c r="E230" i="12" s="1"/>
  <c r="G231" i="12"/>
  <c r="G230" i="12" s="1"/>
  <c r="I231" i="12"/>
  <c r="I230" i="12" s="1"/>
  <c r="J231" i="12"/>
  <c r="J230" i="12" s="1"/>
  <c r="E236" i="12"/>
  <c r="E235" i="12" s="1"/>
  <c r="F236" i="12"/>
  <c r="F235" i="12" s="1"/>
  <c r="G236" i="12"/>
  <c r="G235" i="12" s="1"/>
  <c r="I236" i="12"/>
  <c r="I235" i="12" s="1"/>
  <c r="J236" i="12"/>
  <c r="J235" i="12" s="1"/>
  <c r="E239" i="12"/>
  <c r="E238" i="12" s="1"/>
  <c r="G239" i="12"/>
  <c r="G238" i="12" s="1"/>
  <c r="H239" i="12"/>
  <c r="H238" i="12" s="1"/>
  <c r="I239" i="12"/>
  <c r="I238" i="12" s="1"/>
  <c r="J239" i="12"/>
  <c r="J238" i="12" s="1"/>
  <c r="E244" i="12"/>
  <c r="E243" i="12" s="1"/>
  <c r="F244" i="12"/>
  <c r="F243" i="12" s="1"/>
  <c r="G244" i="12"/>
  <c r="G243" i="12" s="1"/>
  <c r="H244" i="12"/>
  <c r="H243" i="12" s="1"/>
  <c r="I244" i="12"/>
  <c r="I243" i="12" s="1"/>
  <c r="E248" i="12"/>
  <c r="E247" i="12" s="1"/>
  <c r="G248" i="12"/>
  <c r="G247" i="12" s="1"/>
  <c r="H248" i="12"/>
  <c r="H247" i="12" s="1"/>
  <c r="I248" i="12"/>
  <c r="I247" i="12" s="1"/>
  <c r="J248" i="12"/>
  <c r="J247" i="12" s="1"/>
  <c r="E256" i="12"/>
  <c r="E255" i="12" s="1"/>
  <c r="F256" i="12"/>
  <c r="F255" i="12" s="1"/>
  <c r="G256" i="12"/>
  <c r="G255" i="12" s="1"/>
  <c r="I256" i="12"/>
  <c r="I255" i="12" s="1"/>
  <c r="J256" i="12"/>
  <c r="J255" i="12" s="1"/>
  <c r="E258" i="12"/>
  <c r="G258" i="12"/>
  <c r="H258" i="12"/>
  <c r="I258" i="12"/>
  <c r="J258" i="12"/>
  <c r="E264" i="12"/>
  <c r="E263" i="12" s="1"/>
  <c r="E262" i="12" s="1"/>
  <c r="E31" i="12" s="1"/>
  <c r="F264" i="12"/>
  <c r="F263" i="12" s="1"/>
  <c r="F262" i="12" s="1"/>
  <c r="F31" i="12" s="1"/>
  <c r="G264" i="12"/>
  <c r="G263" i="12" s="1"/>
  <c r="G262" i="12" s="1"/>
  <c r="G31" i="12" s="1"/>
  <c r="H264" i="12"/>
  <c r="H263" i="12" s="1"/>
  <c r="H262" i="12" s="1"/>
  <c r="H31" i="12" s="1"/>
  <c r="I264" i="12"/>
  <c r="I263" i="12" s="1"/>
  <c r="I262" i="12" s="1"/>
  <c r="I31" i="12" s="1"/>
  <c r="E272" i="12"/>
  <c r="F272" i="12"/>
  <c r="G272" i="12"/>
  <c r="I272" i="12"/>
  <c r="J272" i="12"/>
  <c r="E275" i="12"/>
  <c r="F275" i="12"/>
  <c r="G275" i="12"/>
  <c r="I275" i="12"/>
  <c r="J275" i="12"/>
  <c r="E278" i="12"/>
  <c r="F278" i="12"/>
  <c r="G278" i="12"/>
  <c r="I278" i="12"/>
  <c r="J278" i="12"/>
  <c r="E284" i="12"/>
  <c r="F284" i="12"/>
  <c r="G284" i="12"/>
  <c r="I284" i="12"/>
  <c r="J284" i="12"/>
  <c r="E286" i="12"/>
  <c r="F286" i="12"/>
  <c r="G286" i="12"/>
  <c r="I286" i="12"/>
  <c r="J286" i="12"/>
  <c r="E291" i="12"/>
  <c r="E290" i="12" s="1"/>
  <c r="G291" i="12"/>
  <c r="G290" i="12" s="1"/>
  <c r="H291" i="12"/>
  <c r="H290" i="12" s="1"/>
  <c r="I291" i="12"/>
  <c r="I290" i="12" s="1"/>
  <c r="J291" i="12"/>
  <c r="J290" i="12" s="1"/>
  <c r="E292" i="12"/>
  <c r="G292" i="12"/>
  <c r="H292" i="12"/>
  <c r="I292" i="12"/>
  <c r="J292" i="12"/>
  <c r="E296" i="12"/>
  <c r="G296" i="12"/>
  <c r="H296" i="12"/>
  <c r="I296" i="12"/>
  <c r="J296" i="12"/>
  <c r="E298" i="12"/>
  <c r="G298" i="12"/>
  <c r="H298" i="12"/>
  <c r="I298" i="12"/>
  <c r="J298" i="12"/>
  <c r="E300" i="12"/>
  <c r="G300" i="12"/>
  <c r="H300" i="12"/>
  <c r="I300" i="12"/>
  <c r="J300" i="12"/>
  <c r="E308" i="12"/>
  <c r="E307" i="12" s="1"/>
  <c r="E306" i="12" s="1"/>
  <c r="G308" i="12"/>
  <c r="G307" i="12" s="1"/>
  <c r="G306" i="12" s="1"/>
  <c r="H308" i="12"/>
  <c r="H307" i="12" s="1"/>
  <c r="H306" i="12" s="1"/>
  <c r="I308" i="12"/>
  <c r="I307" i="12" s="1"/>
  <c r="I306" i="12" s="1"/>
  <c r="J308" i="12"/>
  <c r="J307" i="12" s="1"/>
  <c r="J306" i="12" s="1"/>
  <c r="E313" i="12"/>
  <c r="E312" i="12" s="1"/>
  <c r="F313" i="12"/>
  <c r="F312" i="12" s="1"/>
  <c r="G313" i="12"/>
  <c r="G312" i="12" s="1"/>
  <c r="I313" i="12"/>
  <c r="I312" i="12" s="1"/>
  <c r="J313" i="12"/>
  <c r="J312" i="12" s="1"/>
  <c r="E320" i="12"/>
  <c r="F320" i="12"/>
  <c r="G320" i="12"/>
  <c r="H320" i="12"/>
  <c r="I320" i="12"/>
  <c r="E323" i="12"/>
  <c r="F323" i="12"/>
  <c r="G323" i="12"/>
  <c r="H323" i="12"/>
  <c r="I323" i="12"/>
  <c r="E326" i="12"/>
  <c r="E325" i="12" s="1"/>
  <c r="G326" i="12"/>
  <c r="G325" i="12" s="1"/>
  <c r="H326" i="12"/>
  <c r="H325" i="12" s="1"/>
  <c r="I326" i="12"/>
  <c r="I325" i="12" s="1"/>
  <c r="J326" i="12"/>
  <c r="J325" i="12" s="1"/>
  <c r="E331" i="12"/>
  <c r="E330" i="12" s="1"/>
  <c r="E329" i="12" s="1"/>
  <c r="F331" i="12"/>
  <c r="F330" i="12" s="1"/>
  <c r="F329" i="12" s="1"/>
  <c r="G331" i="12"/>
  <c r="G330" i="12" s="1"/>
  <c r="G329" i="12" s="1"/>
  <c r="I331" i="12"/>
  <c r="I330" i="12" s="1"/>
  <c r="I329" i="12" s="1"/>
  <c r="J331" i="12"/>
  <c r="J330" i="12" s="1"/>
  <c r="J329" i="12" s="1"/>
  <c r="E336" i="12"/>
  <c r="G336" i="12"/>
  <c r="H336" i="12"/>
  <c r="I336" i="12"/>
  <c r="J336" i="12"/>
  <c r="E338" i="12"/>
  <c r="G338" i="12"/>
  <c r="H338" i="12"/>
  <c r="I338" i="12"/>
  <c r="J338" i="12"/>
  <c r="E345" i="12"/>
  <c r="F345" i="12"/>
  <c r="G345" i="12"/>
  <c r="I345" i="12"/>
  <c r="J345" i="12"/>
  <c r="E348" i="12"/>
  <c r="F348" i="12"/>
  <c r="G348" i="12"/>
  <c r="I348" i="12"/>
  <c r="J348" i="12"/>
  <c r="E354" i="12"/>
  <c r="F354" i="12"/>
  <c r="F353" i="12" s="1"/>
  <c r="G354" i="12"/>
  <c r="H354" i="12"/>
  <c r="H353" i="12" s="1"/>
  <c r="I354" i="12"/>
  <c r="E360" i="12"/>
  <c r="G360" i="12"/>
  <c r="I360" i="12"/>
  <c r="E363" i="12"/>
  <c r="E362" i="12" s="1"/>
  <c r="G363" i="12"/>
  <c r="G362" i="12" s="1"/>
  <c r="H363" i="12"/>
  <c r="H362" i="12" s="1"/>
  <c r="I363" i="12"/>
  <c r="I362" i="12" s="1"/>
  <c r="J363" i="12"/>
  <c r="J362" i="12" s="1"/>
  <c r="E368" i="12"/>
  <c r="F368" i="12"/>
  <c r="G368" i="12"/>
  <c r="I368" i="12"/>
  <c r="J368" i="12"/>
  <c r="E373" i="12"/>
  <c r="G373" i="12"/>
  <c r="I373" i="12"/>
  <c r="J373" i="12"/>
  <c r="E376" i="12"/>
  <c r="F376" i="12"/>
  <c r="G376" i="12"/>
  <c r="I376" i="12"/>
  <c r="J376" i="12"/>
  <c r="E379" i="12"/>
  <c r="F379" i="12"/>
  <c r="G379" i="12"/>
  <c r="I379" i="12"/>
  <c r="J379" i="12"/>
  <c r="E384" i="12"/>
  <c r="F384" i="12"/>
  <c r="G384" i="12"/>
  <c r="H384" i="12"/>
  <c r="I384" i="12"/>
  <c r="E386" i="12"/>
  <c r="F386" i="12"/>
  <c r="G386" i="12"/>
  <c r="H386" i="12"/>
  <c r="I386" i="12"/>
  <c r="E390" i="12"/>
  <c r="F390" i="12"/>
  <c r="G390" i="12"/>
  <c r="H390" i="12"/>
  <c r="I390" i="12"/>
  <c r="E392" i="12"/>
  <c r="F392" i="12"/>
  <c r="G392" i="12"/>
  <c r="H392" i="12"/>
  <c r="I392" i="12"/>
  <c r="E396" i="12"/>
  <c r="G396" i="12"/>
  <c r="H396" i="12"/>
  <c r="I396" i="12"/>
  <c r="J396" i="12"/>
  <c r="E398" i="12"/>
  <c r="G398" i="12"/>
  <c r="H398" i="12"/>
  <c r="I398" i="12"/>
  <c r="J398" i="12"/>
  <c r="E401" i="12"/>
  <c r="G401" i="12"/>
  <c r="H401" i="12"/>
  <c r="I401" i="12"/>
  <c r="J401" i="12"/>
  <c r="E403" i="12"/>
  <c r="G403" i="12"/>
  <c r="H403" i="12"/>
  <c r="I403" i="12"/>
  <c r="J403" i="12"/>
  <c r="E408" i="12"/>
  <c r="E407" i="12" s="1"/>
  <c r="E406" i="12" s="1"/>
  <c r="E38" i="12" s="1"/>
  <c r="G408" i="12"/>
  <c r="G407" i="12" s="1"/>
  <c r="G406" i="12" s="1"/>
  <c r="G38" i="12" s="1"/>
  <c r="H408" i="12"/>
  <c r="H407" i="12" s="1"/>
  <c r="H406" i="12" s="1"/>
  <c r="H38" i="12" s="1"/>
  <c r="I408" i="12"/>
  <c r="I407" i="12" s="1"/>
  <c r="I406" i="12" s="1"/>
  <c r="I38" i="12" s="1"/>
  <c r="J408" i="12"/>
  <c r="J407" i="12" s="1"/>
  <c r="J406" i="12" s="1"/>
  <c r="J38" i="12" s="1"/>
  <c r="E413" i="12"/>
  <c r="F413" i="12"/>
  <c r="G413" i="12"/>
  <c r="I413" i="12"/>
  <c r="J413" i="12"/>
  <c r="E415" i="12"/>
  <c r="F415" i="12"/>
  <c r="G415" i="12"/>
  <c r="I415" i="12"/>
  <c r="J415" i="12"/>
  <c r="E422" i="12"/>
  <c r="E421" i="12" s="1"/>
  <c r="G422" i="12"/>
  <c r="G421" i="12" s="1"/>
  <c r="H422" i="12"/>
  <c r="H421" i="12" s="1"/>
  <c r="I422" i="12"/>
  <c r="I421" i="12" s="1"/>
  <c r="J422" i="12"/>
  <c r="J421" i="12" s="1"/>
  <c r="E429" i="12"/>
  <c r="F429" i="12"/>
  <c r="G429" i="12"/>
  <c r="I429" i="12"/>
  <c r="J429" i="12"/>
  <c r="E431" i="12"/>
  <c r="F431" i="12"/>
  <c r="G431" i="12"/>
  <c r="I431" i="12"/>
  <c r="J431" i="12"/>
  <c r="E433" i="12"/>
  <c r="G433" i="12"/>
  <c r="I433" i="12"/>
  <c r="J433" i="12"/>
  <c r="E436" i="12"/>
  <c r="G436" i="12"/>
  <c r="I436" i="12"/>
  <c r="J436" i="12"/>
  <c r="E438" i="12"/>
  <c r="F438" i="12"/>
  <c r="F435" i="12" s="1"/>
  <c r="G438" i="12"/>
  <c r="I438" i="12"/>
  <c r="J438" i="12"/>
  <c r="E443" i="12"/>
  <c r="G443" i="12"/>
  <c r="I443" i="12"/>
  <c r="J443" i="12"/>
  <c r="E445" i="12"/>
  <c r="G445" i="12"/>
  <c r="I445" i="12"/>
  <c r="J445" i="12"/>
  <c r="E450" i="12"/>
  <c r="G450" i="12"/>
  <c r="H450" i="12"/>
  <c r="I450" i="12"/>
  <c r="E453" i="12"/>
  <c r="F453" i="12"/>
  <c r="F449" i="12" s="1"/>
  <c r="F448" i="12" s="1"/>
  <c r="G453" i="12"/>
  <c r="H453" i="12"/>
  <c r="I453" i="12"/>
  <c r="E456" i="12"/>
  <c r="G456" i="12"/>
  <c r="I456" i="12"/>
  <c r="E459" i="12"/>
  <c r="E458" i="12" s="1"/>
  <c r="G459" i="12"/>
  <c r="G458" i="12" s="1"/>
  <c r="I459" i="12"/>
  <c r="I458" i="12" s="1"/>
  <c r="E463" i="12"/>
  <c r="G463" i="12"/>
  <c r="H463" i="12"/>
  <c r="I463" i="12"/>
  <c r="J463" i="12"/>
  <c r="E466" i="12"/>
  <c r="G466" i="12"/>
  <c r="H466" i="12"/>
  <c r="I466" i="12"/>
  <c r="J466" i="12"/>
  <c r="E472" i="12"/>
  <c r="G472" i="12"/>
  <c r="H472" i="12"/>
  <c r="I472" i="12"/>
  <c r="J472" i="12"/>
  <c r="E477" i="12"/>
  <c r="G477" i="12"/>
  <c r="H477" i="12"/>
  <c r="I477" i="12"/>
  <c r="J477" i="12"/>
  <c r="E479" i="12"/>
  <c r="G479" i="12"/>
  <c r="H479" i="12"/>
  <c r="I479" i="12"/>
  <c r="J479" i="12"/>
  <c r="E481" i="12"/>
  <c r="G481" i="12"/>
  <c r="H481" i="12"/>
  <c r="I481" i="12"/>
  <c r="J481" i="12"/>
  <c r="E483" i="12"/>
  <c r="G483" i="12"/>
  <c r="H483" i="12"/>
  <c r="I483" i="12"/>
  <c r="J483" i="12"/>
  <c r="E492" i="12"/>
  <c r="G492" i="12"/>
  <c r="H492" i="12"/>
  <c r="I492" i="12"/>
  <c r="J492" i="12"/>
  <c r="E494" i="12"/>
  <c r="G494" i="12"/>
  <c r="H494" i="12"/>
  <c r="I494" i="12"/>
  <c r="J494" i="12"/>
  <c r="E497" i="12"/>
  <c r="G497" i="12"/>
  <c r="H497" i="12"/>
  <c r="I497" i="12"/>
  <c r="J497" i="12"/>
  <c r="E500" i="12"/>
  <c r="E499" i="12" s="1"/>
  <c r="F500" i="12"/>
  <c r="F499" i="12" s="1"/>
  <c r="G500" i="12"/>
  <c r="G499" i="12" s="1"/>
  <c r="I500" i="12"/>
  <c r="I499" i="12" s="1"/>
  <c r="J500" i="12"/>
  <c r="J499" i="12" s="1"/>
  <c r="E506" i="12"/>
  <c r="E505" i="12" s="1"/>
  <c r="F506" i="12"/>
  <c r="F505" i="12" s="1"/>
  <c r="G506" i="12"/>
  <c r="G505" i="12" s="1"/>
  <c r="I506" i="12"/>
  <c r="I505" i="12" s="1"/>
  <c r="J506" i="12"/>
  <c r="J505" i="12" s="1"/>
  <c r="E509" i="12"/>
  <c r="E508" i="12" s="1"/>
  <c r="G509" i="12"/>
  <c r="G508" i="12" s="1"/>
  <c r="H509" i="12"/>
  <c r="H508" i="12" s="1"/>
  <c r="I509" i="12"/>
  <c r="I508" i="12" s="1"/>
  <c r="J509" i="12"/>
  <c r="J508" i="12" s="1"/>
  <c r="J217" i="12" l="1"/>
  <c r="J412" i="12"/>
  <c r="J411" i="12" s="1"/>
  <c r="J39" i="12" s="1"/>
  <c r="E353" i="12"/>
  <c r="E217" i="12"/>
  <c r="I89" i="12"/>
  <c r="I88" i="12" s="1"/>
  <c r="I83" i="12" s="1"/>
  <c r="G389" i="12"/>
  <c r="F344" i="12"/>
  <c r="I335" i="12"/>
  <c r="I334" i="12" s="1"/>
  <c r="I328" i="12" s="1"/>
  <c r="E89" i="12"/>
  <c r="E88" i="12" s="1"/>
  <c r="E83" i="12" s="1"/>
  <c r="F412" i="12"/>
  <c r="H449" i="12"/>
  <c r="H448" i="12" s="1"/>
  <c r="J462" i="12"/>
  <c r="H319" i="12"/>
  <c r="F367" i="12"/>
  <c r="F366" i="12" s="1"/>
  <c r="G412" i="12"/>
  <c r="G411" i="12" s="1"/>
  <c r="G39" i="12" s="1"/>
  <c r="E462" i="12"/>
  <c r="G344" i="12"/>
  <c r="E99" i="12"/>
  <c r="E98" i="12" s="1"/>
  <c r="F217" i="12"/>
  <c r="J335" i="12"/>
  <c r="J334" i="12" s="1"/>
  <c r="J328" i="12" s="1"/>
  <c r="F132" i="12"/>
  <c r="I383" i="12"/>
  <c r="E344" i="12"/>
  <c r="F319" i="12"/>
  <c r="I428" i="12"/>
  <c r="F389" i="12"/>
  <c r="H383" i="12"/>
  <c r="E367" i="12"/>
  <c r="E366" i="12" s="1"/>
  <c r="G335" i="12"/>
  <c r="G334" i="12" s="1"/>
  <c r="G328" i="12" s="1"/>
  <c r="I242" i="12"/>
  <c r="I29" i="12" s="1"/>
  <c r="G217" i="12"/>
  <c r="I449" i="12"/>
  <c r="I448" i="12" s="1"/>
  <c r="H389" i="12"/>
  <c r="E335" i="12"/>
  <c r="E334" i="12" s="1"/>
  <c r="E328" i="12" s="1"/>
  <c r="I319" i="12"/>
  <c r="E132" i="12"/>
  <c r="G449" i="12"/>
  <c r="G448" i="12" s="1"/>
  <c r="H89" i="12"/>
  <c r="H88" i="12" s="1"/>
  <c r="H83" i="12" s="1"/>
  <c r="G491" i="12"/>
  <c r="G490" i="12" s="1"/>
  <c r="G489" i="12" s="1"/>
  <c r="G488" i="12" s="1"/>
  <c r="G41" i="12" s="1"/>
  <c r="E428" i="12"/>
  <c r="E412" i="12"/>
  <c r="E411" i="12" s="1"/>
  <c r="E39" i="12" s="1"/>
  <c r="J99" i="12"/>
  <c r="J98" i="12" s="1"/>
  <c r="I503" i="12"/>
  <c r="I42" i="12" s="1"/>
  <c r="G71" i="12"/>
  <c r="G26" i="12" s="1"/>
  <c r="H462" i="12"/>
  <c r="E395" i="12"/>
  <c r="E394" i="12" s="1"/>
  <c r="I344" i="12"/>
  <c r="E319" i="12"/>
  <c r="F271" i="12"/>
  <c r="F270" i="12" s="1"/>
  <c r="J234" i="12"/>
  <c r="J28" i="12" s="1"/>
  <c r="G89" i="12"/>
  <c r="G88" i="12" s="1"/>
  <c r="J476" i="12"/>
  <c r="G435" i="12"/>
  <c r="G271" i="12"/>
  <c r="G270" i="12" s="1"/>
  <c r="G268" i="12" s="1"/>
  <c r="G267" i="12" s="1"/>
  <c r="G32" i="12" s="1"/>
  <c r="J271" i="12"/>
  <c r="J270" i="12" s="1"/>
  <c r="J268" i="12" s="1"/>
  <c r="J267" i="12" s="1"/>
  <c r="J32" i="12" s="1"/>
  <c r="H242" i="12"/>
  <c r="H29" i="12" s="1"/>
  <c r="G132" i="12"/>
  <c r="H71" i="12"/>
  <c r="H26" i="12" s="1"/>
  <c r="I491" i="12"/>
  <c r="I490" i="12" s="1"/>
  <c r="I489" i="12" s="1"/>
  <c r="I488" i="12" s="1"/>
  <c r="I41" i="12" s="1"/>
  <c r="E491" i="12"/>
  <c r="E490" i="12" s="1"/>
  <c r="E489" i="12" s="1"/>
  <c r="E488" i="12" s="1"/>
  <c r="E41" i="12" s="1"/>
  <c r="J395" i="12"/>
  <c r="J394" i="12" s="1"/>
  <c r="G383" i="12"/>
  <c r="I254" i="12"/>
  <c r="I30" i="12" s="1"/>
  <c r="E234" i="12"/>
  <c r="E28" i="12" s="1"/>
  <c r="E503" i="12"/>
  <c r="E42" i="12" s="1"/>
  <c r="I476" i="12"/>
  <c r="E449" i="12"/>
  <c r="E448" i="12" s="1"/>
  <c r="I435" i="12"/>
  <c r="J428" i="12"/>
  <c r="E389" i="12"/>
  <c r="F383" i="12"/>
  <c r="J367" i="12"/>
  <c r="J366" i="12" s="1"/>
  <c r="I353" i="12"/>
  <c r="E271" i="12"/>
  <c r="E270" i="12" s="1"/>
  <c r="E268" i="12" s="1"/>
  <c r="E267" i="12" s="1"/>
  <c r="E32" i="12" s="1"/>
  <c r="G254" i="12"/>
  <c r="G30" i="12" s="1"/>
  <c r="I217" i="12"/>
  <c r="F99" i="12"/>
  <c r="F98" i="12" s="1"/>
  <c r="J89" i="12"/>
  <c r="J88" i="12" s="1"/>
  <c r="J83" i="12" s="1"/>
  <c r="I389" i="12"/>
  <c r="E383" i="12"/>
  <c r="I99" i="12"/>
  <c r="I98" i="12" s="1"/>
  <c r="G60" i="12"/>
  <c r="G25" i="12" s="1"/>
  <c r="G234" i="12"/>
  <c r="G28" i="12" s="1"/>
  <c r="H476" i="12"/>
  <c r="E435" i="12"/>
  <c r="I412" i="12"/>
  <c r="I411" i="12" s="1"/>
  <c r="I39" i="12" s="1"/>
  <c r="G367" i="12"/>
  <c r="G366" i="12" s="1"/>
  <c r="G353" i="12"/>
  <c r="J344" i="12"/>
  <c r="H335" i="12"/>
  <c r="H334" i="12" s="1"/>
  <c r="J34" i="12"/>
  <c r="J305" i="12"/>
  <c r="E305" i="12"/>
  <c r="E34" i="12"/>
  <c r="H34" i="12"/>
  <c r="H305" i="12"/>
  <c r="G462" i="12"/>
  <c r="G305" i="12"/>
  <c r="G34" i="12"/>
  <c r="E140" i="12"/>
  <c r="G428" i="12"/>
  <c r="I34" i="12"/>
  <c r="I305" i="12"/>
  <c r="E254" i="12"/>
  <c r="E30" i="12" s="1"/>
  <c r="E476" i="12"/>
  <c r="G503" i="12"/>
  <c r="G42" i="12" s="1"/>
  <c r="J491" i="12"/>
  <c r="J490" i="12" s="1"/>
  <c r="J489" i="12" s="1"/>
  <c r="J488" i="12" s="1"/>
  <c r="J41" i="12" s="1"/>
  <c r="G476" i="12"/>
  <c r="I271" i="12"/>
  <c r="I270" i="12" s="1"/>
  <c r="I268" i="12" s="1"/>
  <c r="I267" i="12" s="1"/>
  <c r="I32" i="12" s="1"/>
  <c r="J254" i="12"/>
  <c r="J30" i="12" s="1"/>
  <c r="H132" i="12"/>
  <c r="J435" i="12"/>
  <c r="I395" i="12"/>
  <c r="I394" i="12" s="1"/>
  <c r="H491" i="12"/>
  <c r="H490" i="12" s="1"/>
  <c r="H489" i="12" s="1"/>
  <c r="I462" i="12"/>
  <c r="H395" i="12"/>
  <c r="H394" i="12" s="1"/>
  <c r="G319" i="12"/>
  <c r="G395" i="12"/>
  <c r="G394" i="12" s="1"/>
  <c r="I367" i="12"/>
  <c r="I366" i="12" s="1"/>
  <c r="I140" i="12"/>
  <c r="G140" i="12"/>
  <c r="E242" i="12"/>
  <c r="E29" i="12" s="1"/>
  <c r="E71" i="12"/>
  <c r="E26" i="12" s="1"/>
  <c r="E60" i="12"/>
  <c r="G242" i="12"/>
  <c r="G29" i="12" s="1"/>
  <c r="I234" i="12"/>
  <c r="I28" i="12" s="1"/>
  <c r="I71" i="12"/>
  <c r="I26" i="12" s="1"/>
  <c r="F428" i="12"/>
  <c r="F427" i="12" s="1"/>
  <c r="I132" i="12"/>
  <c r="G99" i="12"/>
  <c r="G98" i="12" s="1"/>
  <c r="G83" i="12"/>
  <c r="H140" i="12"/>
  <c r="F140" i="12"/>
  <c r="I60" i="12"/>
  <c r="F60" i="12"/>
  <c r="F382" i="12" l="1"/>
  <c r="J461" i="12"/>
  <c r="E461" i="12"/>
  <c r="I382" i="12"/>
  <c r="I365" i="12" s="1"/>
  <c r="I343" i="12" s="1"/>
  <c r="I37" i="12" s="1"/>
  <c r="H382" i="12"/>
  <c r="I461" i="12"/>
  <c r="E131" i="12"/>
  <c r="E97" i="12" s="1"/>
  <c r="E82" i="12" s="1"/>
  <c r="H461" i="12"/>
  <c r="G382" i="12"/>
  <c r="G365" i="12" s="1"/>
  <c r="G343" i="12" s="1"/>
  <c r="G37" i="12" s="1"/>
  <c r="G427" i="12"/>
  <c r="I311" i="12"/>
  <c r="I36" i="12" s="1"/>
  <c r="I131" i="12"/>
  <c r="I97" i="12" s="1"/>
  <c r="I82" i="12" s="1"/>
  <c r="I27" i="12" s="1"/>
  <c r="I427" i="12"/>
  <c r="E427" i="12"/>
  <c r="G131" i="12"/>
  <c r="G311" i="12"/>
  <c r="G36" i="12" s="1"/>
  <c r="F131" i="12"/>
  <c r="J427" i="12"/>
  <c r="E382" i="12"/>
  <c r="E365" i="12" s="1"/>
  <c r="E343" i="12" s="1"/>
  <c r="E37" i="12" s="1"/>
  <c r="E311" i="12"/>
  <c r="E36" i="12" s="1"/>
  <c r="G461" i="12"/>
  <c r="F25" i="12"/>
  <c r="I25" i="12"/>
  <c r="E25" i="12"/>
  <c r="H131" i="12"/>
  <c r="F97" i="12" l="1"/>
  <c r="G97" i="12"/>
  <c r="G82" i="12" s="1"/>
  <c r="G27" i="12" s="1"/>
  <c r="E426" i="12"/>
  <c r="E425" i="12" s="1"/>
  <c r="E40" i="12" s="1"/>
  <c r="I426" i="12"/>
  <c r="I425" i="12" s="1"/>
  <c r="I40" i="12" s="1"/>
  <c r="I18" i="12" s="1"/>
  <c r="I15" i="12" s="1"/>
  <c r="G426" i="12"/>
  <c r="G425" i="12" s="1"/>
  <c r="G40" i="12" s="1"/>
  <c r="E27" i="12"/>
  <c r="I59" i="12" l="1"/>
  <c r="E18" i="12"/>
  <c r="E15" i="12" s="1"/>
  <c r="E59" i="12"/>
  <c r="G59" i="12"/>
  <c r="G18" i="12"/>
  <c r="G15" i="12" s="1"/>
  <c r="D463" i="12"/>
  <c r="D466" i="12"/>
  <c r="AM56" i="12"/>
  <c r="AN56" i="12"/>
  <c r="AO56" i="12"/>
  <c r="AP56" i="12"/>
  <c r="AL51" i="12"/>
  <c r="AJ51" i="12"/>
  <c r="AM309" i="12" l="1"/>
  <c r="AI466" i="12"/>
  <c r="AH466" i="12"/>
  <c r="AG466" i="12"/>
  <c r="AF466" i="12"/>
  <c r="AE466" i="12"/>
  <c r="AD466" i="12"/>
  <c r="AC466" i="12"/>
  <c r="AB466" i="12"/>
  <c r="AA466" i="12"/>
  <c r="Z466" i="12"/>
  <c r="Y466" i="12"/>
  <c r="X466" i="12"/>
  <c r="W466" i="12"/>
  <c r="AP466" i="12"/>
  <c r="AO466" i="12"/>
  <c r="AN466" i="12"/>
  <c r="AM466" i="12"/>
  <c r="AK466" i="12"/>
  <c r="AL469" i="12"/>
  <c r="F469" i="12" s="1"/>
  <c r="AJ469" i="12"/>
  <c r="AJ468" i="12"/>
  <c r="AP368" i="12"/>
  <c r="AO368" i="12"/>
  <c r="AN368" i="12"/>
  <c r="AM368" i="12"/>
  <c r="AH368" i="12"/>
  <c r="AF368" i="12"/>
  <c r="AE368" i="12"/>
  <c r="AD368" i="12"/>
  <c r="AC368" i="12"/>
  <c r="AB368" i="12"/>
  <c r="Z368" i="12"/>
  <c r="Y368" i="12"/>
  <c r="D368" i="12"/>
  <c r="W368" i="12"/>
  <c r="AL372" i="12"/>
  <c r="H372" i="12" s="1"/>
  <c r="AI372" i="12"/>
  <c r="AJ372" i="12" s="1"/>
  <c r="AI368" i="12" l="1"/>
  <c r="D331" i="12"/>
  <c r="D330" i="12" s="1"/>
  <c r="D329" i="12" s="1"/>
  <c r="AP331" i="12"/>
  <c r="AP330" i="12" s="1"/>
  <c r="AP329" i="12" s="1"/>
  <c r="AP328" i="12" s="1"/>
  <c r="AO331" i="12"/>
  <c r="AO330" i="12" s="1"/>
  <c r="AO329" i="12" s="1"/>
  <c r="AN331" i="12"/>
  <c r="AN330" i="12" s="1"/>
  <c r="AN329" i="12" s="1"/>
  <c r="AM331" i="12"/>
  <c r="AM330" i="12" s="1"/>
  <c r="AM329" i="12" s="1"/>
  <c r="AK331" i="12"/>
  <c r="AK330" i="12" s="1"/>
  <c r="AK329" i="12" s="1"/>
  <c r="AI331" i="12"/>
  <c r="AI330" i="12" s="1"/>
  <c r="AI329" i="12" s="1"/>
  <c r="AH331" i="12"/>
  <c r="AH330" i="12" s="1"/>
  <c r="AH329" i="12" s="1"/>
  <c r="AG331" i="12"/>
  <c r="AG330" i="12" s="1"/>
  <c r="AG329" i="12" s="1"/>
  <c r="AF331" i="12"/>
  <c r="AF330" i="12" s="1"/>
  <c r="AF329" i="12" s="1"/>
  <c r="AE331" i="12"/>
  <c r="AE330" i="12" s="1"/>
  <c r="AE329" i="12" s="1"/>
  <c r="AD331" i="12"/>
  <c r="AD330" i="12" s="1"/>
  <c r="AD329" i="12" s="1"/>
  <c r="AC331" i="12"/>
  <c r="AC330" i="12" s="1"/>
  <c r="AC329" i="12" s="1"/>
  <c r="AB331" i="12"/>
  <c r="AB330" i="12" s="1"/>
  <c r="AB329" i="12" s="1"/>
  <c r="AA331" i="12"/>
  <c r="AA330" i="12" s="1"/>
  <c r="AA329" i="12" s="1"/>
  <c r="Z331" i="12"/>
  <c r="Z330" i="12" s="1"/>
  <c r="Z329" i="12" s="1"/>
  <c r="Y331" i="12"/>
  <c r="Y330" i="12" s="1"/>
  <c r="Y329" i="12" s="1"/>
  <c r="W331" i="12"/>
  <c r="W330" i="12" s="1"/>
  <c r="W329" i="12" s="1"/>
  <c r="AL333" i="12"/>
  <c r="H333" i="12" s="1"/>
  <c r="AL332" i="12"/>
  <c r="H332" i="12" s="1"/>
  <c r="AJ333" i="12"/>
  <c r="AJ332" i="12"/>
  <c r="D379" i="12"/>
  <c r="AP379" i="12"/>
  <c r="AO379" i="12"/>
  <c r="AN379" i="12"/>
  <c r="AM379" i="12"/>
  <c r="AK379" i="12"/>
  <c r="AI379" i="12"/>
  <c r="AH379" i="12"/>
  <c r="AG379" i="12"/>
  <c r="AF379" i="12"/>
  <c r="AE379" i="12"/>
  <c r="AD379" i="12"/>
  <c r="AC379" i="12"/>
  <c r="AB379" i="12"/>
  <c r="AA379" i="12"/>
  <c r="Z379" i="12"/>
  <c r="Y379" i="12"/>
  <c r="W379" i="12"/>
  <c r="AL380" i="12"/>
  <c r="H380" i="12" s="1"/>
  <c r="H379" i="12" s="1"/>
  <c r="AJ380" i="12"/>
  <c r="H331" i="12" l="1"/>
  <c r="H330" i="12" s="1"/>
  <c r="H329" i="12" s="1"/>
  <c r="H328" i="12" s="1"/>
  <c r="AJ331" i="12"/>
  <c r="AJ330" i="12" s="1"/>
  <c r="AJ329" i="12" s="1"/>
  <c r="AL331" i="12"/>
  <c r="AL330" i="12" s="1"/>
  <c r="AL329" i="12" s="1"/>
  <c r="AJ379" i="12"/>
  <c r="AL379" i="12"/>
  <c r="AK463" i="12" l="1"/>
  <c r="AI463" i="12"/>
  <c r="AH463" i="12"/>
  <c r="AG463" i="12"/>
  <c r="AF463" i="12"/>
  <c r="AE463" i="12"/>
  <c r="AD463" i="12"/>
  <c r="AC463" i="12"/>
  <c r="AB463" i="12"/>
  <c r="AA463" i="12"/>
  <c r="Z463" i="12"/>
  <c r="Y463" i="12"/>
  <c r="X463" i="12"/>
  <c r="W463" i="12"/>
  <c r="AP463" i="12"/>
  <c r="AO463" i="12"/>
  <c r="AN463" i="12"/>
  <c r="AM463" i="12"/>
  <c r="AL465" i="12"/>
  <c r="F465" i="12" s="1"/>
  <c r="AL464" i="12"/>
  <c r="F464" i="12" s="1"/>
  <c r="AJ465" i="12"/>
  <c r="AJ464" i="12"/>
  <c r="F463" i="12" l="1"/>
  <c r="AJ463" i="12"/>
  <c r="AL463" i="12"/>
  <c r="D438" i="12" l="1"/>
  <c r="AP438" i="12"/>
  <c r="AO438" i="12"/>
  <c r="AN438" i="12"/>
  <c r="AM438" i="12"/>
  <c r="AK438" i="12"/>
  <c r="AI438" i="12"/>
  <c r="AH438" i="12"/>
  <c r="AG438" i="12"/>
  <c r="AF438" i="12"/>
  <c r="AE438" i="12"/>
  <c r="AD438" i="12"/>
  <c r="AC438" i="12"/>
  <c r="AB438" i="12"/>
  <c r="AA438" i="12"/>
  <c r="Z438" i="12"/>
  <c r="Y438" i="12"/>
  <c r="W438" i="12"/>
  <c r="AL442" i="12"/>
  <c r="H442" i="12" s="1"/>
  <c r="AL441" i="12"/>
  <c r="H441" i="12" s="1"/>
  <c r="AL440" i="12"/>
  <c r="H440" i="12" s="1"/>
  <c r="AJ442" i="12"/>
  <c r="AJ441" i="12"/>
  <c r="AJ440" i="12"/>
  <c r="D472" i="12" l="1"/>
  <c r="D462" i="12" s="1"/>
  <c r="W472" i="12"/>
  <c r="AI472" i="12"/>
  <c r="AH472" i="12"/>
  <c r="AG472" i="12"/>
  <c r="AF472" i="12"/>
  <c r="AE472" i="12"/>
  <c r="AD472" i="12"/>
  <c r="AC472" i="12"/>
  <c r="AB472" i="12"/>
  <c r="AA472" i="12"/>
  <c r="Z472" i="12"/>
  <c r="Y472" i="12"/>
  <c r="X472" i="12"/>
  <c r="AL473" i="12"/>
  <c r="F473" i="12" s="1"/>
  <c r="F472" i="12" s="1"/>
  <c r="AK472" i="12"/>
  <c r="AM472" i="12"/>
  <c r="AN472" i="12"/>
  <c r="AO472" i="12"/>
  <c r="AP472" i="12"/>
  <c r="AP435" i="12"/>
  <c r="AL452" i="12"/>
  <c r="AJ452" i="12"/>
  <c r="AL451" i="12"/>
  <c r="AJ451" i="12"/>
  <c r="AO450" i="12"/>
  <c r="AN450" i="12"/>
  <c r="AM450" i="12"/>
  <c r="AK450" i="12"/>
  <c r="AI450" i="12"/>
  <c r="AH450" i="12"/>
  <c r="AG450" i="12"/>
  <c r="AF450" i="12"/>
  <c r="AE450" i="12"/>
  <c r="AD450" i="12"/>
  <c r="AC450" i="12"/>
  <c r="AB450" i="12"/>
  <c r="AA450" i="12"/>
  <c r="Z450" i="12"/>
  <c r="Y450" i="12"/>
  <c r="X450" i="12"/>
  <c r="W450" i="12"/>
  <c r="M450" i="12"/>
  <c r="L450" i="12"/>
  <c r="K450" i="12"/>
  <c r="D450" i="12"/>
  <c r="AR452" i="12" l="1"/>
  <c r="J452" i="12"/>
  <c r="AR451" i="12"/>
  <c r="J451" i="12"/>
  <c r="AL472" i="12"/>
  <c r="AJ450" i="12"/>
  <c r="AL450" i="12"/>
  <c r="AS451" i="12"/>
  <c r="AS452" i="12"/>
  <c r="J450" i="12" l="1"/>
  <c r="AS450" i="12"/>
  <c r="AR450" i="12"/>
  <c r="AP392" i="12" l="1"/>
  <c r="AO392" i="12"/>
  <c r="AN392" i="12"/>
  <c r="AM392" i="12"/>
  <c r="AK392" i="12"/>
  <c r="AI392" i="12"/>
  <c r="AH392" i="12"/>
  <c r="AG392" i="12"/>
  <c r="AF392" i="12"/>
  <c r="AE392" i="12"/>
  <c r="AD392" i="12"/>
  <c r="AC392" i="12"/>
  <c r="AB392" i="12"/>
  <c r="AA392" i="12"/>
  <c r="Z392" i="12"/>
  <c r="Y392" i="12"/>
  <c r="D392" i="12"/>
  <c r="W392" i="12"/>
  <c r="AP386" i="12"/>
  <c r="AO386" i="12"/>
  <c r="AN386" i="12"/>
  <c r="AM386" i="12"/>
  <c r="AK386" i="12"/>
  <c r="AI386" i="12"/>
  <c r="AH386" i="12"/>
  <c r="AG386" i="12"/>
  <c r="AF386" i="12"/>
  <c r="AE386" i="12"/>
  <c r="AD386" i="12"/>
  <c r="AC386" i="12"/>
  <c r="AB386" i="12"/>
  <c r="AA386" i="12"/>
  <c r="Z386" i="12"/>
  <c r="Y386" i="12"/>
  <c r="D386" i="12"/>
  <c r="W386" i="12"/>
  <c r="AL393" i="12"/>
  <c r="J393" i="12" s="1"/>
  <c r="J392" i="12" s="1"/>
  <c r="AJ393" i="12"/>
  <c r="AP14" i="12"/>
  <c r="AL404" i="12"/>
  <c r="F404" i="12" s="1"/>
  <c r="F403" i="12" s="1"/>
  <c r="AJ404" i="12"/>
  <c r="AJ403" i="12" s="1"/>
  <c r="AA404" i="12"/>
  <c r="AO403" i="12"/>
  <c r="AN403" i="12"/>
  <c r="AM403" i="12"/>
  <c r="AK403" i="12"/>
  <c r="AI403" i="12"/>
  <c r="AH403" i="12"/>
  <c r="AG403" i="12"/>
  <c r="AF403" i="12"/>
  <c r="AE403" i="12"/>
  <c r="AD403" i="12"/>
  <c r="AC403" i="12"/>
  <c r="AB403" i="12"/>
  <c r="Z403" i="12"/>
  <c r="Y403" i="12"/>
  <c r="X403" i="12"/>
  <c r="W403" i="12"/>
  <c r="M403" i="12"/>
  <c r="L403" i="12"/>
  <c r="K403" i="12"/>
  <c r="D403" i="12"/>
  <c r="AP415" i="12"/>
  <c r="AO415" i="12"/>
  <c r="AN415" i="12"/>
  <c r="AK415" i="12"/>
  <c r="AH415" i="12"/>
  <c r="AG415" i="12"/>
  <c r="AF415" i="12"/>
  <c r="AE415" i="12"/>
  <c r="AD415" i="12"/>
  <c r="AC415" i="12"/>
  <c r="AB415" i="12"/>
  <c r="Z415" i="12"/>
  <c r="Y415" i="12"/>
  <c r="D415" i="12"/>
  <c r="W415" i="12"/>
  <c r="AL420" i="12"/>
  <c r="H420" i="12" s="1"/>
  <c r="AJ420" i="12"/>
  <c r="AL392" i="12" l="1"/>
  <c r="AJ392" i="12"/>
  <c r="AL403" i="12"/>
  <c r="AR404" i="12"/>
  <c r="AA403" i="12"/>
  <c r="AR403" i="12" l="1"/>
  <c r="AS404" i="12"/>
  <c r="AS403" i="12"/>
  <c r="AP313" i="12" l="1"/>
  <c r="AO313" i="12"/>
  <c r="AN313" i="12"/>
  <c r="AM313" i="12"/>
  <c r="AK313" i="12"/>
  <c r="AH313" i="12"/>
  <c r="AG313" i="12"/>
  <c r="AE313" i="12"/>
  <c r="AD313" i="12"/>
  <c r="AB313" i="12"/>
  <c r="Z313" i="12"/>
  <c r="D313" i="12"/>
  <c r="W313" i="12"/>
  <c r="AL318" i="12"/>
  <c r="H318" i="12" s="1"/>
  <c r="AJ318" i="12"/>
  <c r="AA318" i="12"/>
  <c r="AL317" i="12" l="1"/>
  <c r="H317" i="12" s="1"/>
  <c r="AC317" i="12"/>
  <c r="Y317" i="12"/>
  <c r="Y313" i="12" s="1"/>
  <c r="AF317" i="12"/>
  <c r="AF313" i="12" s="1"/>
  <c r="AC313" i="12" l="1"/>
  <c r="AA317" i="12"/>
  <c r="AI317" i="12"/>
  <c r="AI313" i="12" s="1"/>
  <c r="AJ317" i="12" l="1"/>
  <c r="M326" i="12" l="1"/>
  <c r="L326" i="12"/>
  <c r="K326" i="12"/>
  <c r="D326" i="12"/>
  <c r="D325" i="12" s="1"/>
  <c r="AP326" i="12"/>
  <c r="AP325" i="12" s="1"/>
  <c r="AO326" i="12"/>
  <c r="AO325" i="12" s="1"/>
  <c r="AN326" i="12"/>
  <c r="AN325" i="12" s="1"/>
  <c r="AM326" i="12"/>
  <c r="AM325" i="12" s="1"/>
  <c r="AK326" i="12"/>
  <c r="AK325" i="12" s="1"/>
  <c r="AJ326" i="12"/>
  <c r="AJ325" i="12" s="1"/>
  <c r="AI326" i="12"/>
  <c r="AI325" i="12" s="1"/>
  <c r="AH326" i="12"/>
  <c r="AH325" i="12" s="1"/>
  <c r="AG326" i="12"/>
  <c r="AG325" i="12" s="1"/>
  <c r="AF326" i="12"/>
  <c r="AF325" i="12" s="1"/>
  <c r="AE326" i="12"/>
  <c r="AE325" i="12" s="1"/>
  <c r="AD326" i="12"/>
  <c r="AD325" i="12" s="1"/>
  <c r="AC326" i="12"/>
  <c r="AC325" i="12" s="1"/>
  <c r="AB326" i="12"/>
  <c r="AB325" i="12" s="1"/>
  <c r="AA326" i="12"/>
  <c r="AA325" i="12" s="1"/>
  <c r="Z326" i="12"/>
  <c r="Z325" i="12" s="1"/>
  <c r="Y326" i="12"/>
  <c r="Y325" i="12" s="1"/>
  <c r="W326" i="12"/>
  <c r="W325" i="12" s="1"/>
  <c r="AL327" i="12"/>
  <c r="AL326" i="12" l="1"/>
  <c r="AL325" i="12" s="1"/>
  <c r="F327" i="12"/>
  <c r="F326" i="12" s="1"/>
  <c r="F325" i="12" s="1"/>
  <c r="D141" i="12" l="1"/>
  <c r="AP213" i="12"/>
  <c r="AO213" i="12"/>
  <c r="AN213" i="12"/>
  <c r="AM213" i="12"/>
  <c r="AK213" i="12"/>
  <c r="AI213" i="12"/>
  <c r="AH213" i="12"/>
  <c r="AF213" i="12"/>
  <c r="AE213" i="12"/>
  <c r="AD213" i="12"/>
  <c r="AB213" i="12"/>
  <c r="AA213" i="12"/>
  <c r="Z213" i="12"/>
  <c r="Y213" i="12"/>
  <c r="D213" i="12"/>
  <c r="W213" i="12"/>
  <c r="AP208" i="12"/>
  <c r="AO208" i="12"/>
  <c r="AN208" i="12"/>
  <c r="AM208" i="12"/>
  <c r="AK208" i="12"/>
  <c r="AI208" i="12"/>
  <c r="AH208" i="12"/>
  <c r="AG208" i="12"/>
  <c r="AF208" i="12"/>
  <c r="AE208" i="12"/>
  <c r="AD208" i="12"/>
  <c r="AB208" i="12"/>
  <c r="AA208" i="12"/>
  <c r="Z208" i="12"/>
  <c r="Y208" i="12"/>
  <c r="D208" i="12"/>
  <c r="W208" i="12"/>
  <c r="AP204" i="12"/>
  <c r="AO204" i="12"/>
  <c r="AN204" i="12"/>
  <c r="AM204" i="12"/>
  <c r="AK204" i="12"/>
  <c r="AI204" i="12"/>
  <c r="AH204" i="12"/>
  <c r="AG204" i="12"/>
  <c r="AF204" i="12"/>
  <c r="AE204" i="12"/>
  <c r="AD204" i="12"/>
  <c r="AB204" i="12"/>
  <c r="Z204" i="12"/>
  <c r="D204" i="12"/>
  <c r="W204" i="12"/>
  <c r="AP198" i="12"/>
  <c r="AO198" i="12"/>
  <c r="AN198" i="12"/>
  <c r="AM198" i="12"/>
  <c r="AK198" i="12"/>
  <c r="AI198" i="12"/>
  <c r="AH198" i="12"/>
  <c r="AF198" i="12"/>
  <c r="AE198" i="12"/>
  <c r="AD198" i="12"/>
  <c r="AB198" i="12"/>
  <c r="AA198" i="12"/>
  <c r="Z198" i="12"/>
  <c r="Y198" i="12"/>
  <c r="M198" i="12"/>
  <c r="L198" i="12"/>
  <c r="K198" i="12"/>
  <c r="D198" i="12"/>
  <c r="W198" i="12"/>
  <c r="AP190" i="12"/>
  <c r="AO190" i="12"/>
  <c r="AN190" i="12"/>
  <c r="AM190" i="12"/>
  <c r="AK190" i="12"/>
  <c r="AH190" i="12"/>
  <c r="AF190" i="12"/>
  <c r="AE190" i="12"/>
  <c r="AD190" i="12"/>
  <c r="AB190" i="12"/>
  <c r="Z190" i="12"/>
  <c r="Y190" i="12"/>
  <c r="D190" i="12"/>
  <c r="W190" i="12"/>
  <c r="AP188" i="12"/>
  <c r="AO188" i="12"/>
  <c r="AN188" i="12"/>
  <c r="AM188" i="12"/>
  <c r="AK188" i="12"/>
  <c r="AI188" i="12"/>
  <c r="AH188" i="12"/>
  <c r="AG188" i="12"/>
  <c r="AF188" i="12"/>
  <c r="AE188" i="12"/>
  <c r="AD188" i="12"/>
  <c r="AB188" i="12"/>
  <c r="AA188" i="12"/>
  <c r="Z188" i="12"/>
  <c r="Y188" i="12"/>
  <c r="D188" i="12"/>
  <c r="AP176" i="12"/>
  <c r="AO176" i="12"/>
  <c r="AN176" i="12"/>
  <c r="AM176" i="12"/>
  <c r="AK176" i="12"/>
  <c r="AH176" i="12"/>
  <c r="AG176" i="12"/>
  <c r="AF176" i="12"/>
  <c r="AE176" i="12"/>
  <c r="AD176" i="12"/>
  <c r="AB176" i="12"/>
  <c r="AA176" i="12"/>
  <c r="Z176" i="12"/>
  <c r="D176" i="12"/>
  <c r="W176" i="12"/>
  <c r="D170" i="12"/>
  <c r="AP170" i="12"/>
  <c r="AO170" i="12"/>
  <c r="AN170" i="12"/>
  <c r="AM170" i="12"/>
  <c r="AK170" i="12"/>
  <c r="AI170" i="12"/>
  <c r="AH170" i="12"/>
  <c r="AG170" i="12"/>
  <c r="AF170" i="12"/>
  <c r="AE170" i="12"/>
  <c r="AD170" i="12"/>
  <c r="AB170" i="12"/>
  <c r="AA170" i="12"/>
  <c r="Z170" i="12"/>
  <c r="W170" i="12"/>
  <c r="D163" i="12"/>
  <c r="W163" i="12"/>
  <c r="AP152" i="12"/>
  <c r="AO152" i="12"/>
  <c r="AM152" i="12"/>
  <c r="AK152" i="12"/>
  <c r="AI152" i="12"/>
  <c r="AH152" i="12"/>
  <c r="AF152" i="12"/>
  <c r="AE152" i="12"/>
  <c r="AD152" i="12"/>
  <c r="AB152" i="12"/>
  <c r="Z152" i="12"/>
  <c r="Y152" i="12"/>
  <c r="D152" i="12"/>
  <c r="W152" i="12"/>
  <c r="AP145" i="12"/>
  <c r="AO145" i="12"/>
  <c r="AN145" i="12"/>
  <c r="AM145" i="12"/>
  <c r="AK145" i="12"/>
  <c r="AI145" i="12"/>
  <c r="AH145" i="12"/>
  <c r="AF145" i="12"/>
  <c r="AE145" i="12"/>
  <c r="AD145" i="12"/>
  <c r="AB145" i="12"/>
  <c r="AA145" i="12"/>
  <c r="Z145" i="12"/>
  <c r="Y145" i="12"/>
  <c r="D145" i="12"/>
  <c r="W145" i="12"/>
  <c r="AP141" i="12"/>
  <c r="AO141" i="12"/>
  <c r="AN141" i="12"/>
  <c r="AM141" i="12"/>
  <c r="AI141" i="12"/>
  <c r="AH141" i="12"/>
  <c r="AG141" i="12"/>
  <c r="AF141" i="12"/>
  <c r="AE141" i="12"/>
  <c r="AD141" i="12"/>
  <c r="AB141" i="12"/>
  <c r="AA141" i="12"/>
  <c r="Z141" i="12"/>
  <c r="Y141" i="12"/>
  <c r="AP137" i="12"/>
  <c r="AO137" i="12"/>
  <c r="AN137" i="12"/>
  <c r="AM137" i="12"/>
  <c r="AK137" i="12"/>
  <c r="AH137" i="12"/>
  <c r="AF137" i="12"/>
  <c r="AE137" i="12"/>
  <c r="AD137" i="12"/>
  <c r="AC137" i="12"/>
  <c r="AB137" i="12"/>
  <c r="Z137" i="12"/>
  <c r="D137" i="12"/>
  <c r="AP135" i="12"/>
  <c r="AO135" i="12"/>
  <c r="AN135" i="12"/>
  <c r="AM135" i="12"/>
  <c r="AK135" i="12"/>
  <c r="AI135" i="12"/>
  <c r="AH135" i="12"/>
  <c r="AF135" i="12"/>
  <c r="AE135" i="12"/>
  <c r="AD135" i="12"/>
  <c r="AB135" i="12"/>
  <c r="AA135" i="12"/>
  <c r="Z135" i="12"/>
  <c r="Y135" i="12"/>
  <c r="D135" i="12"/>
  <c r="W135" i="12"/>
  <c r="AP133" i="12"/>
  <c r="AO133" i="12"/>
  <c r="AN133" i="12"/>
  <c r="AM133" i="12"/>
  <c r="AK133" i="12"/>
  <c r="AH133" i="12"/>
  <c r="AF133" i="12"/>
  <c r="AE133" i="12"/>
  <c r="AD133" i="12"/>
  <c r="AC133" i="12"/>
  <c r="AB133" i="12"/>
  <c r="AA133" i="12"/>
  <c r="Z133" i="12"/>
  <c r="Y133" i="12"/>
  <c r="D133" i="12"/>
  <c r="AP124" i="12"/>
  <c r="AO124" i="12"/>
  <c r="AN124" i="12"/>
  <c r="AM124" i="12"/>
  <c r="AK124" i="12"/>
  <c r="AH124" i="12"/>
  <c r="AF124" i="12"/>
  <c r="AE124" i="12"/>
  <c r="AD124" i="12"/>
  <c r="AB124" i="12"/>
  <c r="AA124" i="12"/>
  <c r="Z124" i="12"/>
  <c r="Y124" i="12"/>
  <c r="D124" i="12"/>
  <c r="W124" i="12"/>
  <c r="D120" i="12"/>
  <c r="AK120" i="12"/>
  <c r="AH120" i="12"/>
  <c r="AG120" i="12"/>
  <c r="AF120" i="12"/>
  <c r="AE120" i="12"/>
  <c r="AD120" i="12"/>
  <c r="AC120" i="12"/>
  <c r="AB120" i="12"/>
  <c r="AA120" i="12"/>
  <c r="Z120" i="12"/>
  <c r="Y120" i="12"/>
  <c r="X120" i="12"/>
  <c r="W120" i="12"/>
  <c r="AP120" i="12"/>
  <c r="AO120" i="12"/>
  <c r="AN120" i="12"/>
  <c r="AM120" i="12"/>
  <c r="D140" i="12" l="1"/>
  <c r="D132" i="12"/>
  <c r="AP109" i="12"/>
  <c r="AO109" i="12"/>
  <c r="AN109" i="12"/>
  <c r="AM109" i="12"/>
  <c r="AK109" i="12"/>
  <c r="AH109" i="12"/>
  <c r="AF109" i="12"/>
  <c r="AE109" i="12"/>
  <c r="AD109" i="12"/>
  <c r="AB109" i="12"/>
  <c r="Z109" i="12"/>
  <c r="D109" i="12"/>
  <c r="W109" i="12"/>
  <c r="AP106" i="12"/>
  <c r="AO106" i="12"/>
  <c r="AN106" i="12"/>
  <c r="AM106" i="12"/>
  <c r="AK106" i="12"/>
  <c r="AI106" i="12"/>
  <c r="AH106" i="12"/>
  <c r="AF106" i="12"/>
  <c r="AE106" i="12"/>
  <c r="AD106" i="12"/>
  <c r="AC106" i="12"/>
  <c r="AB106" i="12"/>
  <c r="AA106" i="12"/>
  <c r="Z106" i="12"/>
  <c r="Y106" i="12"/>
  <c r="D106" i="12"/>
  <c r="W106" i="12"/>
  <c r="AP100" i="12"/>
  <c r="AO100" i="12"/>
  <c r="AM100" i="12"/>
  <c r="AK100" i="12"/>
  <c r="AH100" i="12"/>
  <c r="AG100" i="12"/>
  <c r="AF100" i="12"/>
  <c r="AE100" i="12"/>
  <c r="AD100" i="12"/>
  <c r="AB100" i="12"/>
  <c r="AA100" i="12"/>
  <c r="D100" i="12"/>
  <c r="W100" i="12"/>
  <c r="AP292" i="12"/>
  <c r="AO292" i="12"/>
  <c r="AN292" i="12"/>
  <c r="AM292" i="12"/>
  <c r="AK292" i="12"/>
  <c r="AI292" i="12"/>
  <c r="AH292" i="12"/>
  <c r="AG292" i="12"/>
  <c r="AF292" i="12"/>
  <c r="AE292" i="12"/>
  <c r="AD292" i="12"/>
  <c r="AC292" i="12"/>
  <c r="AB292" i="12"/>
  <c r="Z292" i="12"/>
  <c r="Y292" i="12"/>
  <c r="D292" i="12"/>
  <c r="AP298" i="12"/>
  <c r="AO298" i="12"/>
  <c r="AN298" i="12"/>
  <c r="AM298" i="12"/>
  <c r="AK298" i="12"/>
  <c r="AI298" i="12"/>
  <c r="AH298" i="12"/>
  <c r="AG298" i="12"/>
  <c r="AF298" i="12"/>
  <c r="AE298" i="12"/>
  <c r="AD298" i="12"/>
  <c r="AC298" i="12"/>
  <c r="AB298" i="12"/>
  <c r="AA298" i="12"/>
  <c r="Z298" i="12"/>
  <c r="Y298" i="12"/>
  <c r="D298" i="12"/>
  <c r="W298" i="12"/>
  <c r="W292" i="12"/>
  <c r="AP300" i="12"/>
  <c r="AO300" i="12"/>
  <c r="AN300" i="12"/>
  <c r="AM300" i="12"/>
  <c r="AK300" i="12"/>
  <c r="AI300" i="12"/>
  <c r="AH300" i="12"/>
  <c r="AG300" i="12"/>
  <c r="AF300" i="12"/>
  <c r="AE300" i="12"/>
  <c r="AD300" i="12"/>
  <c r="AC300" i="12"/>
  <c r="AB300" i="12"/>
  <c r="AA300" i="12"/>
  <c r="Z300" i="12"/>
  <c r="Y300" i="12"/>
  <c r="D300" i="12"/>
  <c r="W300" i="12"/>
  <c r="D296" i="12"/>
  <c r="AP296" i="12"/>
  <c r="AO296" i="12"/>
  <c r="AN296" i="12"/>
  <c r="AM296" i="12"/>
  <c r="AK296" i="12"/>
  <c r="AI296" i="12"/>
  <c r="AH296" i="12"/>
  <c r="AG296" i="12"/>
  <c r="AF296" i="12"/>
  <c r="AE296" i="12"/>
  <c r="AD296" i="12"/>
  <c r="AC296" i="12"/>
  <c r="AB296" i="12"/>
  <c r="Z296" i="12"/>
  <c r="Y296" i="12"/>
  <c r="W296" i="12"/>
  <c r="D272" i="12"/>
  <c r="X272" i="12"/>
  <c r="Y272" i="12"/>
  <c r="Z272" i="12"/>
  <c r="AB272" i="12"/>
  <c r="AC272" i="12"/>
  <c r="AD272" i="12"/>
  <c r="AE272" i="12"/>
  <c r="AF272" i="12"/>
  <c r="AG272" i="12"/>
  <c r="AH272" i="12"/>
  <c r="AI272" i="12"/>
  <c r="AK272" i="12"/>
  <c r="AM272" i="12"/>
  <c r="AN272" i="12"/>
  <c r="AO272" i="12"/>
  <c r="AP272" i="12"/>
  <c r="AP284" i="12"/>
  <c r="AO284" i="12"/>
  <c r="AN284" i="12"/>
  <c r="AM284" i="12"/>
  <c r="AK284" i="12"/>
  <c r="AI284" i="12"/>
  <c r="AH284" i="12"/>
  <c r="AG284" i="12"/>
  <c r="AF284" i="12"/>
  <c r="AE284" i="12"/>
  <c r="AD284" i="12"/>
  <c r="AC284" i="12"/>
  <c r="AB284" i="12"/>
  <c r="AA284" i="12"/>
  <c r="Z284" i="12"/>
  <c r="Y284" i="12"/>
  <c r="D284" i="12"/>
  <c r="W284" i="12"/>
  <c r="AP286" i="12"/>
  <c r="AO286" i="12"/>
  <c r="AN286" i="12"/>
  <c r="AM286" i="12"/>
  <c r="AI286" i="12"/>
  <c r="AH286" i="12"/>
  <c r="AG286" i="12"/>
  <c r="AF286" i="12"/>
  <c r="AE286" i="12"/>
  <c r="AD286" i="12"/>
  <c r="AC286" i="12"/>
  <c r="AB286" i="12"/>
  <c r="Z286" i="12"/>
  <c r="Y286" i="12"/>
  <c r="D286" i="12"/>
  <c r="W286" i="12"/>
  <c r="D278" i="12"/>
  <c r="AF278" i="12"/>
  <c r="AE278" i="12"/>
  <c r="AD278" i="12"/>
  <c r="AC278" i="12"/>
  <c r="AB278" i="12"/>
  <c r="Z278" i="12"/>
  <c r="Y278" i="12"/>
  <c r="X278" i="12"/>
  <c r="W278" i="12"/>
  <c r="AP278" i="12"/>
  <c r="AO278" i="12"/>
  <c r="AN278" i="12"/>
  <c r="AM278" i="12"/>
  <c r="AI278" i="12"/>
  <c r="AP275" i="12"/>
  <c r="AO275" i="12"/>
  <c r="AN275" i="12"/>
  <c r="AM275" i="12"/>
  <c r="AK275" i="12"/>
  <c r="AI275" i="12"/>
  <c r="AH275" i="12"/>
  <c r="AG275" i="12"/>
  <c r="AF275" i="12"/>
  <c r="AE275" i="12"/>
  <c r="AD275" i="12"/>
  <c r="AC275" i="12"/>
  <c r="AB275" i="12"/>
  <c r="AA275" i="12"/>
  <c r="Z275" i="12"/>
  <c r="Y275" i="12"/>
  <c r="AK99" i="12" l="1"/>
  <c r="AK98" i="12" s="1"/>
  <c r="AF99" i="12"/>
  <c r="AF98" i="12" s="1"/>
  <c r="D131" i="12"/>
  <c r="AB99" i="12"/>
  <c r="AB98" i="12" s="1"/>
  <c r="AM99" i="12"/>
  <c r="AM98" i="12" s="1"/>
  <c r="AH99" i="12"/>
  <c r="AH98" i="12" s="1"/>
  <c r="W99" i="12"/>
  <c r="AO99" i="12"/>
  <c r="AO98" i="12" s="1"/>
  <c r="D99" i="12"/>
  <c r="D98" i="12" s="1"/>
  <c r="AD99" i="12"/>
  <c r="AD98" i="12" s="1"/>
  <c r="AP99" i="12"/>
  <c r="AP98" i="12" s="1"/>
  <c r="AE99" i="12"/>
  <c r="AE98" i="12" s="1"/>
  <c r="W291" i="12"/>
  <c r="AB271" i="12"/>
  <c r="AD271" i="12"/>
  <c r="AC271" i="12"/>
  <c r="AP271" i="12"/>
  <c r="AI271" i="12"/>
  <c r="AO271" i="12"/>
  <c r="Z271" i="12"/>
  <c r="AN271" i="12"/>
  <c r="Y271" i="12"/>
  <c r="AM271" i="12"/>
  <c r="AF271" i="12"/>
  <c r="X271" i="12"/>
  <c r="AE271" i="12"/>
  <c r="X89" i="12"/>
  <c r="X88" i="12" s="1"/>
  <c r="AP90" i="12"/>
  <c r="AO90" i="12"/>
  <c r="AN90" i="12"/>
  <c r="AM90" i="12"/>
  <c r="AK90" i="12"/>
  <c r="AI90" i="12"/>
  <c r="AH90" i="12"/>
  <c r="AG90" i="12"/>
  <c r="AF90" i="12"/>
  <c r="AE90" i="12"/>
  <c r="AD90" i="12"/>
  <c r="AC90" i="12"/>
  <c r="AB90" i="12"/>
  <c r="Z90" i="12"/>
  <c r="Y90" i="12"/>
  <c r="D90" i="12"/>
  <c r="W90" i="12"/>
  <c r="AP95" i="12"/>
  <c r="AO95" i="12"/>
  <c r="AN95" i="12"/>
  <c r="AM95" i="12"/>
  <c r="AK95" i="12"/>
  <c r="AJ95" i="12"/>
  <c r="AI95" i="12"/>
  <c r="AH95" i="12"/>
  <c r="AG95" i="12"/>
  <c r="AF95" i="12"/>
  <c r="AE95" i="12"/>
  <c r="AD95" i="12"/>
  <c r="AC95" i="12"/>
  <c r="AB95" i="12"/>
  <c r="Z95" i="12"/>
  <c r="Y95" i="12"/>
  <c r="D95" i="12"/>
  <c r="W95" i="12"/>
  <c r="D86" i="12"/>
  <c r="D85" i="12" s="1"/>
  <c r="X86" i="12"/>
  <c r="X85" i="12" s="1"/>
  <c r="Y86" i="12"/>
  <c r="Y85" i="12" s="1"/>
  <c r="Z86" i="12"/>
  <c r="Z85" i="12" s="1"/>
  <c r="AB86" i="12"/>
  <c r="AB85" i="12" s="1"/>
  <c r="AC86" i="12"/>
  <c r="AC85" i="12" s="1"/>
  <c r="AD86" i="12"/>
  <c r="AD85" i="12" s="1"/>
  <c r="AE86" i="12"/>
  <c r="AE85" i="12" s="1"/>
  <c r="AF86" i="12"/>
  <c r="AF85" i="12" s="1"/>
  <c r="AG86" i="12"/>
  <c r="AG85" i="12" s="1"/>
  <c r="AH86" i="12"/>
  <c r="AH85" i="12" s="1"/>
  <c r="AI86" i="12"/>
  <c r="AI85" i="12" s="1"/>
  <c r="AK86" i="12"/>
  <c r="AK85" i="12" s="1"/>
  <c r="AL86" i="12"/>
  <c r="AL85" i="12" s="1"/>
  <c r="AM86" i="12"/>
  <c r="AM85" i="12" s="1"/>
  <c r="AN86" i="12"/>
  <c r="AN85" i="12" s="1"/>
  <c r="AO86" i="12"/>
  <c r="AO85" i="12" s="1"/>
  <c r="AP86" i="12"/>
  <c r="AP85" i="12" s="1"/>
  <c r="W86" i="12"/>
  <c r="W85" i="12" s="1"/>
  <c r="D97" i="12" l="1"/>
  <c r="AG89" i="12"/>
  <c r="AG88" i="12" s="1"/>
  <c r="W89" i="12"/>
  <c r="W88" i="12" s="1"/>
  <c r="Y89" i="12"/>
  <c r="Y88" i="12" s="1"/>
  <c r="AH89" i="12"/>
  <c r="AH88" i="12" s="1"/>
  <c r="D89" i="12"/>
  <c r="D88" i="12" s="1"/>
  <c r="AB89" i="12"/>
  <c r="AB88" i="12" s="1"/>
  <c r="Z89" i="12"/>
  <c r="Z88" i="12" s="1"/>
  <c r="AI89" i="12"/>
  <c r="AI88" i="12" s="1"/>
  <c r="AK89" i="12"/>
  <c r="AK88" i="12" s="1"/>
  <c r="AC89" i="12"/>
  <c r="AC88" i="12" s="1"/>
  <c r="AM89" i="12"/>
  <c r="AM88" i="12" s="1"/>
  <c r="AD89" i="12"/>
  <c r="AD88" i="12" s="1"/>
  <c r="AN89" i="12"/>
  <c r="AN88" i="12" s="1"/>
  <c r="AE89" i="12"/>
  <c r="AE88" i="12" s="1"/>
  <c r="AO89" i="12"/>
  <c r="AO88" i="12" s="1"/>
  <c r="AF89" i="12"/>
  <c r="AF88" i="12" s="1"/>
  <c r="AP89" i="12"/>
  <c r="AP88" i="12" s="1"/>
  <c r="AH278" i="12" l="1"/>
  <c r="AH271" i="12" s="1"/>
  <c r="AH270" i="12" s="1"/>
  <c r="AG278" i="12"/>
  <c r="AG271" i="12" s="1"/>
  <c r="D275" i="12"/>
  <c r="D271" i="12" s="1"/>
  <c r="W275" i="12"/>
  <c r="AP270" i="12"/>
  <c r="AP268" i="12" s="1"/>
  <c r="AP267" i="12" s="1"/>
  <c r="AO270" i="12"/>
  <c r="AN270" i="12"/>
  <c r="AM270" i="12"/>
  <c r="AI270" i="12"/>
  <c r="AF270" i="12"/>
  <c r="AE270" i="12"/>
  <c r="AD270" i="12"/>
  <c r="AC270" i="12"/>
  <c r="AB270" i="12"/>
  <c r="Z270" i="12"/>
  <c r="Y270" i="12"/>
  <c r="W272" i="12"/>
  <c r="AL282" i="12"/>
  <c r="AJ282" i="12"/>
  <c r="AL281" i="12"/>
  <c r="H281" i="12" s="1"/>
  <c r="AJ281" i="12"/>
  <c r="AA281" i="12"/>
  <c r="AL280" i="12"/>
  <c r="H280" i="12" s="1"/>
  <c r="AJ280" i="12"/>
  <c r="AL279" i="12"/>
  <c r="H279" i="12" s="1"/>
  <c r="AJ279" i="12"/>
  <c r="AA279" i="12"/>
  <c r="AL277" i="12"/>
  <c r="AJ277" i="12"/>
  <c r="B277" i="12"/>
  <c r="AL276" i="12"/>
  <c r="H276" i="12" s="1"/>
  <c r="AJ276" i="12"/>
  <c r="AR282" i="12" l="1"/>
  <c r="H282" i="12"/>
  <c r="H278" i="12" s="1"/>
  <c r="AR277" i="12"/>
  <c r="H277" i="12"/>
  <c r="H275" i="12" s="1"/>
  <c r="W271" i="12"/>
  <c r="W270" i="12" s="1"/>
  <c r="AG270" i="12"/>
  <c r="AA278" i="12"/>
  <c r="D270" i="12"/>
  <c r="AJ275" i="12"/>
  <c r="AJ278" i="12"/>
  <c r="AL275" i="12"/>
  <c r="AK278" i="12"/>
  <c r="AL278" i="12"/>
  <c r="AS282" i="12"/>
  <c r="AR276" i="12"/>
  <c r="AS277" i="12"/>
  <c r="AS276" i="12" l="1"/>
  <c r="AN14" i="12" l="1"/>
  <c r="AL414" i="12"/>
  <c r="AJ414" i="12"/>
  <c r="AJ413" i="12" s="1"/>
  <c r="AD414" i="12"/>
  <c r="AD413" i="12" s="1"/>
  <c r="AP413" i="12"/>
  <c r="AO413" i="12"/>
  <c r="AN413" i="12"/>
  <c r="AM413" i="12"/>
  <c r="AK413" i="12"/>
  <c r="AI413" i="12"/>
  <c r="AH413" i="12"/>
  <c r="AG413" i="12"/>
  <c r="AF413" i="12"/>
  <c r="AE413" i="12"/>
  <c r="AC413" i="12"/>
  <c r="AB413" i="12"/>
  <c r="Z413" i="12"/>
  <c r="Y413" i="12"/>
  <c r="X413" i="12"/>
  <c r="W413" i="12"/>
  <c r="M413" i="12"/>
  <c r="L413" i="12"/>
  <c r="K413" i="12"/>
  <c r="D413" i="12"/>
  <c r="H414" i="12" l="1"/>
  <c r="H413" i="12" s="1"/>
  <c r="AL413" i="12"/>
  <c r="AA414" i="12"/>
  <c r="N16" i="12"/>
  <c r="O16" i="12"/>
  <c r="P16" i="12"/>
  <c r="Q16" i="12"/>
  <c r="R16" i="12"/>
  <c r="S16" i="12"/>
  <c r="T16" i="12"/>
  <c r="U16" i="12"/>
  <c r="V16" i="12"/>
  <c r="AG16" i="12"/>
  <c r="AH16" i="12"/>
  <c r="M46" i="12"/>
  <c r="M16" i="12" s="1"/>
  <c r="L46" i="12"/>
  <c r="L16" i="12" s="1"/>
  <c r="K46" i="12"/>
  <c r="K16" i="12" s="1"/>
  <c r="D46" i="12"/>
  <c r="D16" i="12" s="1"/>
  <c r="Z46" i="12"/>
  <c r="Z16" i="12" s="1"/>
  <c r="Y46" i="12"/>
  <c r="Y16" i="12" s="1"/>
  <c r="X46" i="12"/>
  <c r="X16" i="12" s="1"/>
  <c r="W46" i="12"/>
  <c r="W16" i="12" s="1"/>
  <c r="AE46" i="12"/>
  <c r="AE16" i="12" s="1"/>
  <c r="AD46" i="12"/>
  <c r="AD16" i="12" s="1"/>
  <c r="AC46" i="12"/>
  <c r="AC16" i="12" s="1"/>
  <c r="AB46" i="12"/>
  <c r="AB16" i="12" s="1"/>
  <c r="AF46" i="12"/>
  <c r="AF16" i="12" s="1"/>
  <c r="AK46" i="12"/>
  <c r="AK16" i="12" s="1"/>
  <c r="AP46" i="12"/>
  <c r="AP16" i="12" s="1"/>
  <c r="AO46" i="12"/>
  <c r="AO16" i="12" s="1"/>
  <c r="AN46" i="12"/>
  <c r="AN16" i="12" s="1"/>
  <c r="AM46" i="12"/>
  <c r="AM16" i="12" s="1"/>
  <c r="E15" i="21" s="1"/>
  <c r="AL47" i="12"/>
  <c r="AL46" i="12" s="1"/>
  <c r="AL16" i="12" s="1"/>
  <c r="AI47" i="12"/>
  <c r="AI46" i="12" s="1"/>
  <c r="AI16" i="12" s="1"/>
  <c r="AA47" i="12"/>
  <c r="AA46" i="12" s="1"/>
  <c r="AA16" i="12" s="1"/>
  <c r="C15" i="21" l="1"/>
  <c r="AR414" i="12"/>
  <c r="AA413" i="12"/>
  <c r="AJ47" i="12"/>
  <c r="AJ46" i="12" s="1"/>
  <c r="AJ16" i="12" s="1"/>
  <c r="AR413" i="12" l="1"/>
  <c r="AS414" i="12"/>
  <c r="AS413" i="12" l="1"/>
  <c r="K100" i="12" l="1"/>
  <c r="L100" i="12"/>
  <c r="M100" i="12"/>
  <c r="AP97" i="12" l="1"/>
  <c r="X213" i="12"/>
  <c r="AL215" i="12"/>
  <c r="J215" i="12" s="1"/>
  <c r="AJ215" i="12"/>
  <c r="AG215" i="12"/>
  <c r="AG213" i="12" s="1"/>
  <c r="AC215" i="12"/>
  <c r="AC213" i="12" s="1"/>
  <c r="AL214" i="12"/>
  <c r="J214" i="12" s="1"/>
  <c r="AJ214" i="12"/>
  <c r="M213" i="12"/>
  <c r="L213" i="12"/>
  <c r="K213" i="12"/>
  <c r="K176" i="12"/>
  <c r="L176" i="12"/>
  <c r="M176" i="12"/>
  <c r="N176" i="12"/>
  <c r="O176" i="12"/>
  <c r="P176" i="12"/>
  <c r="R176" i="12"/>
  <c r="S176" i="12"/>
  <c r="T176" i="12"/>
  <c r="U176" i="12"/>
  <c r="V176" i="12"/>
  <c r="X176" i="12"/>
  <c r="AL187" i="12"/>
  <c r="J187" i="12" s="1"/>
  <c r="AJ187" i="12"/>
  <c r="AL186" i="12"/>
  <c r="J186" i="12" s="1"/>
  <c r="AJ186" i="12"/>
  <c r="AL185" i="12"/>
  <c r="J185" i="12" s="1"/>
  <c r="AI185" i="12"/>
  <c r="AC185" i="12"/>
  <c r="AL184" i="12"/>
  <c r="J184" i="12" s="1"/>
  <c r="AI184" i="12"/>
  <c r="Y184" i="12"/>
  <c r="AC184" i="12" s="1"/>
  <c r="AL183" i="12"/>
  <c r="J183" i="12" s="1"/>
  <c r="AJ183" i="12"/>
  <c r="Y183" i="12"/>
  <c r="AC183" i="12" s="1"/>
  <c r="AL182" i="12"/>
  <c r="J182" i="12" s="1"/>
  <c r="AJ182" i="12"/>
  <c r="Y182" i="12"/>
  <c r="AC182" i="12" s="1"/>
  <c r="AL181" i="12"/>
  <c r="J181" i="12" s="1"/>
  <c r="AJ181" i="12"/>
  <c r="AC181" i="12"/>
  <c r="AL180" i="12"/>
  <c r="J180" i="12" s="1"/>
  <c r="AJ180" i="12"/>
  <c r="Y180" i="12"/>
  <c r="AC180" i="12" s="1"/>
  <c r="AL179" i="12"/>
  <c r="J179" i="12" s="1"/>
  <c r="AJ179" i="12"/>
  <c r="Y179" i="12"/>
  <c r="AL212" i="12"/>
  <c r="J212" i="12" s="1"/>
  <c r="AJ212" i="12"/>
  <c r="AC212" i="12"/>
  <c r="AL211" i="12"/>
  <c r="J211" i="12" s="1"/>
  <c r="AJ211" i="12"/>
  <c r="AC211" i="12"/>
  <c r="AL210" i="12"/>
  <c r="J210" i="12" s="1"/>
  <c r="AJ210" i="12"/>
  <c r="AC210" i="12"/>
  <c r="B210" i="12"/>
  <c r="B211" i="12" s="1"/>
  <c r="B212" i="12" s="1"/>
  <c r="AL209" i="12"/>
  <c r="J209" i="12" s="1"/>
  <c r="AJ209" i="12"/>
  <c r="AC209" i="12"/>
  <c r="X208" i="12"/>
  <c r="M208" i="12"/>
  <c r="L208" i="12"/>
  <c r="K208" i="12"/>
  <c r="K204" i="12"/>
  <c r="L204" i="12"/>
  <c r="M204" i="12"/>
  <c r="N204" i="12"/>
  <c r="O204" i="12"/>
  <c r="P204" i="12"/>
  <c r="R204" i="12"/>
  <c r="S204" i="12"/>
  <c r="T204" i="12"/>
  <c r="U204" i="12"/>
  <c r="V204" i="12"/>
  <c r="X204" i="12"/>
  <c r="AL207" i="12"/>
  <c r="J207" i="12" s="1"/>
  <c r="AJ207" i="12"/>
  <c r="AA207" i="12"/>
  <c r="AA204" i="12" s="1"/>
  <c r="Y207" i="12"/>
  <c r="AL206" i="12"/>
  <c r="J206" i="12" s="1"/>
  <c r="AJ206" i="12"/>
  <c r="AC206" i="12"/>
  <c r="AL205" i="12"/>
  <c r="J205" i="12" s="1"/>
  <c r="AJ205" i="12"/>
  <c r="W188" i="12"/>
  <c r="AL203" i="12"/>
  <c r="J203" i="12" s="1"/>
  <c r="AJ203" i="12"/>
  <c r="AC203" i="12"/>
  <c r="AL202" i="12"/>
  <c r="J202" i="12" s="1"/>
  <c r="AJ202" i="12"/>
  <c r="AG202" i="12"/>
  <c r="AG198" i="12" s="1"/>
  <c r="AC202" i="12"/>
  <c r="AL201" i="12"/>
  <c r="J201" i="12" s="1"/>
  <c r="AJ201" i="12"/>
  <c r="AC201" i="12"/>
  <c r="AL200" i="12"/>
  <c r="J200" i="12" s="1"/>
  <c r="AJ200" i="12"/>
  <c r="AL199" i="12"/>
  <c r="J199" i="12" s="1"/>
  <c r="AJ199" i="12"/>
  <c r="AL197" i="12"/>
  <c r="J197" i="12" s="1"/>
  <c r="AI197" i="12"/>
  <c r="AJ197" i="12" s="1"/>
  <c r="AC197" i="12"/>
  <c r="AA197" i="12"/>
  <c r="AA190" i="12" s="1"/>
  <c r="AL196" i="12"/>
  <c r="J196" i="12" s="1"/>
  <c r="AI196" i="12"/>
  <c r="AJ196" i="12" s="1"/>
  <c r="AC196" i="12"/>
  <c r="AL195" i="12"/>
  <c r="J195" i="12" s="1"/>
  <c r="AI195" i="12"/>
  <c r="AJ195" i="12" s="1"/>
  <c r="AC195" i="12"/>
  <c r="AL194" i="12"/>
  <c r="J194" i="12" s="1"/>
  <c r="AI194" i="12"/>
  <c r="AJ194" i="12" s="1"/>
  <c r="AC194" i="12"/>
  <c r="AL193" i="12"/>
  <c r="J193" i="12" s="1"/>
  <c r="AI193" i="12"/>
  <c r="AJ193" i="12" s="1"/>
  <c r="AC193" i="12"/>
  <c r="AL192" i="12"/>
  <c r="J192" i="12" s="1"/>
  <c r="AI192" i="12"/>
  <c r="AJ192" i="12" s="1"/>
  <c r="AG192" i="12"/>
  <c r="AG190" i="12" s="1"/>
  <c r="AC192" i="12"/>
  <c r="AL191" i="12"/>
  <c r="J191" i="12" s="1"/>
  <c r="AI191" i="12"/>
  <c r="AC191" i="12"/>
  <c r="AL189" i="12"/>
  <c r="J189" i="12" s="1"/>
  <c r="J188" i="12" s="1"/>
  <c r="AJ189" i="12"/>
  <c r="AC189" i="12"/>
  <c r="AC188" i="12" s="1"/>
  <c r="AL178" i="12"/>
  <c r="J178" i="12" s="1"/>
  <c r="AJ178" i="12"/>
  <c r="AC178" i="12"/>
  <c r="AL177" i="12"/>
  <c r="J177" i="12" s="1"/>
  <c r="AJ177" i="12"/>
  <c r="AC177" i="12"/>
  <c r="AL175" i="12"/>
  <c r="J175" i="12" s="1"/>
  <c r="AJ175" i="12"/>
  <c r="AL174" i="12"/>
  <c r="J174" i="12" s="1"/>
  <c r="AJ174" i="12"/>
  <c r="AL173" i="12"/>
  <c r="J173" i="12" s="1"/>
  <c r="AJ173" i="12"/>
  <c r="AL172" i="12"/>
  <c r="J172" i="12" s="1"/>
  <c r="AJ172" i="12"/>
  <c r="AL171" i="12"/>
  <c r="J171" i="12" s="1"/>
  <c r="AJ171" i="12"/>
  <c r="AL169" i="12"/>
  <c r="J169" i="12" s="1"/>
  <c r="AJ169" i="12"/>
  <c r="AL168" i="12"/>
  <c r="J168" i="12" s="1"/>
  <c r="AJ168" i="12"/>
  <c r="AL167" i="12"/>
  <c r="J167" i="12" s="1"/>
  <c r="AI167" i="12"/>
  <c r="AJ167" i="12" s="1"/>
  <c r="AC167" i="12"/>
  <c r="AA167" i="12"/>
  <c r="AL166" i="12"/>
  <c r="J166" i="12" s="1"/>
  <c r="AI166" i="12"/>
  <c r="AJ166" i="12" s="1"/>
  <c r="AC166" i="12"/>
  <c r="AA166" i="12"/>
  <c r="AN165" i="12"/>
  <c r="AL165" i="12" s="1"/>
  <c r="J165" i="12" s="1"/>
  <c r="AI165" i="12"/>
  <c r="AJ165" i="12" s="1"/>
  <c r="AC165" i="12"/>
  <c r="AL164" i="12"/>
  <c r="J164" i="12" s="1"/>
  <c r="AI164" i="12"/>
  <c r="AJ164" i="12" s="1"/>
  <c r="AC164" i="12"/>
  <c r="AM163" i="12"/>
  <c r="AK163" i="12"/>
  <c r="AH163" i="12"/>
  <c r="AG163" i="12"/>
  <c r="AF163" i="12"/>
  <c r="AE163" i="12"/>
  <c r="AD163" i="12"/>
  <c r="AB163" i="12"/>
  <c r="AL162" i="12"/>
  <c r="J162" i="12" s="1"/>
  <c r="AJ162" i="12"/>
  <c r="AC162" i="12"/>
  <c r="AL161" i="12"/>
  <c r="J161" i="12" s="1"/>
  <c r="AJ161" i="12"/>
  <c r="AL160" i="12"/>
  <c r="J160" i="12" s="1"/>
  <c r="AJ160" i="12"/>
  <c r="AC160" i="12"/>
  <c r="AL159" i="12"/>
  <c r="J159" i="12" s="1"/>
  <c r="AJ159" i="12"/>
  <c r="AC159" i="12"/>
  <c r="AL158" i="12"/>
  <c r="J158" i="12" s="1"/>
  <c r="AJ158" i="12"/>
  <c r="AC158" i="12"/>
  <c r="AL157" i="12"/>
  <c r="J157" i="12" s="1"/>
  <c r="AJ157" i="12"/>
  <c r="AG157" i="12"/>
  <c r="AG152" i="12" s="1"/>
  <c r="AC157" i="12"/>
  <c r="AN156" i="12"/>
  <c r="AN152" i="12" s="1"/>
  <c r="AJ156" i="12"/>
  <c r="AC156" i="12"/>
  <c r="AA156" i="12"/>
  <c r="AL155" i="12"/>
  <c r="J155" i="12" s="1"/>
  <c r="AJ155" i="12"/>
  <c r="AC155" i="12"/>
  <c r="AA155" i="12"/>
  <c r="AL154" i="12"/>
  <c r="J154" i="12" s="1"/>
  <c r="AJ154" i="12"/>
  <c r="AC154" i="12"/>
  <c r="AA154" i="12"/>
  <c r="AL153" i="12"/>
  <c r="J153" i="12" s="1"/>
  <c r="AJ153" i="12"/>
  <c r="AC153" i="12"/>
  <c r="AA153" i="12"/>
  <c r="AL151" i="12"/>
  <c r="J151" i="12" s="1"/>
  <c r="AJ151" i="12"/>
  <c r="AC151" i="12"/>
  <c r="AL150" i="12"/>
  <c r="J150" i="12" s="1"/>
  <c r="AJ150" i="12"/>
  <c r="AC150" i="12"/>
  <c r="AL149" i="12"/>
  <c r="J149" i="12" s="1"/>
  <c r="AJ149" i="12"/>
  <c r="AC149" i="12"/>
  <c r="AL148" i="12"/>
  <c r="J148" i="12" s="1"/>
  <c r="AJ148" i="12"/>
  <c r="AC148" i="12"/>
  <c r="AL147" i="12"/>
  <c r="J147" i="12" s="1"/>
  <c r="AJ147" i="12"/>
  <c r="AC147" i="12"/>
  <c r="AL146" i="12"/>
  <c r="J146" i="12" s="1"/>
  <c r="AJ146" i="12"/>
  <c r="AG146" i="12"/>
  <c r="AG145" i="12" s="1"/>
  <c r="AC146" i="12"/>
  <c r="J176" i="12" l="1"/>
  <c r="J145" i="12"/>
  <c r="J190" i="12"/>
  <c r="J208" i="12"/>
  <c r="J163" i="12"/>
  <c r="J213" i="12"/>
  <c r="J170" i="12"/>
  <c r="J204" i="12"/>
  <c r="J198" i="12"/>
  <c r="AA152" i="12"/>
  <c r="AI176" i="12"/>
  <c r="AC208" i="12"/>
  <c r="AC152" i="12"/>
  <c r="AC198" i="12"/>
  <c r="AJ204" i="12"/>
  <c r="AC190" i="12"/>
  <c r="AJ213" i="12"/>
  <c r="AL145" i="12"/>
  <c r="AL176" i="12"/>
  <c r="AJ191" i="12"/>
  <c r="AJ190" i="12" s="1"/>
  <c r="AI190" i="12"/>
  <c r="AR210" i="12"/>
  <c r="AR212" i="12"/>
  <c r="AR180" i="12"/>
  <c r="AR182" i="12"/>
  <c r="AL190" i="12"/>
  <c r="AJ152" i="12"/>
  <c r="AR206" i="12"/>
  <c r="AJ208" i="12"/>
  <c r="AC179" i="12"/>
  <c r="AC176" i="12" s="1"/>
  <c r="Y176" i="12"/>
  <c r="AR187" i="12"/>
  <c r="AR209" i="12"/>
  <c r="AL208" i="12"/>
  <c r="AR208" i="12" s="1"/>
  <c r="AJ170" i="12"/>
  <c r="AC207" i="12"/>
  <c r="AC204" i="12" s="1"/>
  <c r="Y204" i="12"/>
  <c r="AR211" i="12"/>
  <c r="AR179" i="12"/>
  <c r="AR181" i="12"/>
  <c r="AR183" i="12"/>
  <c r="AR214" i="12"/>
  <c r="AL213" i="12"/>
  <c r="AR213" i="12" s="1"/>
  <c r="AC145" i="12"/>
  <c r="AL170" i="12"/>
  <c r="AJ188" i="12"/>
  <c r="AL188" i="12"/>
  <c r="AJ198" i="12"/>
  <c r="AL204" i="12"/>
  <c r="AR204" i="12" s="1"/>
  <c r="AJ145" i="12"/>
  <c r="AL198" i="12"/>
  <c r="AR186" i="12"/>
  <c r="AS210" i="12"/>
  <c r="AS212" i="12"/>
  <c r="AS187" i="12"/>
  <c r="AS186" i="12"/>
  <c r="AS183" i="12"/>
  <c r="AS215" i="12"/>
  <c r="AR215" i="12"/>
  <c r="AS180" i="12"/>
  <c r="AS182" i="12"/>
  <c r="AA163" i="12"/>
  <c r="AS179" i="12"/>
  <c r="AJ184" i="12"/>
  <c r="AS184" i="12" s="1"/>
  <c r="AR185" i="12"/>
  <c r="AJ185" i="12"/>
  <c r="AS185" i="12" s="1"/>
  <c r="AS181" i="12"/>
  <c r="AR184" i="12"/>
  <c r="AS206" i="12"/>
  <c r="AN163" i="12"/>
  <c r="AS211" i="12"/>
  <c r="AR205" i="12"/>
  <c r="AS207" i="12"/>
  <c r="AR207" i="12"/>
  <c r="AI163" i="12"/>
  <c r="AC163" i="12"/>
  <c r="AL163" i="12"/>
  <c r="AJ163" i="12"/>
  <c r="AL156" i="12"/>
  <c r="J156" i="12" s="1"/>
  <c r="J152" i="12" s="1"/>
  <c r="AS209" i="12" l="1"/>
  <c r="AJ176" i="12"/>
  <c r="AS204" i="12"/>
  <c r="AL152" i="12"/>
  <c r="AS214" i="12"/>
  <c r="AS213" i="12"/>
  <c r="AS208" i="12"/>
  <c r="AS205" i="12"/>
  <c r="AL139" i="12" l="1"/>
  <c r="J139" i="12" s="1"/>
  <c r="AJ139" i="12"/>
  <c r="AA139" i="12"/>
  <c r="AL138" i="12"/>
  <c r="J138" i="12" s="1"/>
  <c r="AI138" i="12"/>
  <c r="AG138" i="12"/>
  <c r="AG137" i="12" s="1"/>
  <c r="AA138" i="12"/>
  <c r="AL130" i="12"/>
  <c r="H130" i="12" s="1"/>
  <c r="AI130" i="12"/>
  <c r="AJ130" i="12" s="1"/>
  <c r="AC130" i="12"/>
  <c r="AL129" i="12"/>
  <c r="H129" i="12" s="1"/>
  <c r="AI129" i="12"/>
  <c r="AG129" i="12"/>
  <c r="AL128" i="12"/>
  <c r="H128" i="12" s="1"/>
  <c r="AJ128" i="12"/>
  <c r="AL127" i="12"/>
  <c r="H127" i="12" s="1"/>
  <c r="AJ127" i="12"/>
  <c r="AG127" i="12"/>
  <c r="AC127" i="12"/>
  <c r="AL126" i="12"/>
  <c r="H126" i="12" s="1"/>
  <c r="AJ126" i="12"/>
  <c r="AG126" i="12"/>
  <c r="AL125" i="12"/>
  <c r="H125" i="12" s="1"/>
  <c r="AJ125" i="12"/>
  <c r="AG125" i="12"/>
  <c r="AL123" i="12"/>
  <c r="H123" i="12" s="1"/>
  <c r="AI123" i="12"/>
  <c r="AL122" i="12"/>
  <c r="H122" i="12" s="1"/>
  <c r="AJ122" i="12"/>
  <c r="AL121" i="12"/>
  <c r="H121" i="12" s="1"/>
  <c r="AJ121" i="12"/>
  <c r="AL119" i="12"/>
  <c r="H119" i="12" s="1"/>
  <c r="AI119" i="12"/>
  <c r="AJ119" i="12" s="1"/>
  <c r="AG119" i="12"/>
  <c r="AG109" i="12" s="1"/>
  <c r="AC119" i="12"/>
  <c r="AA119" i="12"/>
  <c r="AA109" i="12" s="1"/>
  <c r="AA99" i="12" s="1"/>
  <c r="AA98" i="12" s="1"/>
  <c r="AL118" i="12"/>
  <c r="H118" i="12" s="1"/>
  <c r="AI118" i="12"/>
  <c r="AL117" i="12"/>
  <c r="H117" i="12" s="1"/>
  <c r="AJ117" i="12"/>
  <c r="AL116" i="12"/>
  <c r="H116" i="12" s="1"/>
  <c r="AJ116" i="12"/>
  <c r="AL115" i="12"/>
  <c r="H115" i="12" s="1"/>
  <c r="AI115" i="12"/>
  <c r="AC115" i="12"/>
  <c r="AL114" i="12"/>
  <c r="H114" i="12" s="1"/>
  <c r="AJ114" i="12"/>
  <c r="AC114" i="12"/>
  <c r="AL113" i="12"/>
  <c r="H113" i="12" s="1"/>
  <c r="AJ113" i="12"/>
  <c r="AL112" i="12"/>
  <c r="H112" i="12" s="1"/>
  <c r="AJ112" i="12"/>
  <c r="AL111" i="12"/>
  <c r="H111" i="12" s="1"/>
  <c r="AJ111" i="12"/>
  <c r="AL110" i="12"/>
  <c r="H110" i="12" s="1"/>
  <c r="AJ110" i="12"/>
  <c r="AL108" i="12"/>
  <c r="H108" i="12" s="1"/>
  <c r="AJ108" i="12"/>
  <c r="AG108" i="12"/>
  <c r="AG106" i="12" s="1"/>
  <c r="AL107" i="12"/>
  <c r="H107" i="12" s="1"/>
  <c r="AJ107" i="12"/>
  <c r="AK142" i="12"/>
  <c r="AK141" i="12" s="1"/>
  <c r="AN105" i="12"/>
  <c r="AJ105" i="12"/>
  <c r="AC105" i="12"/>
  <c r="AL104" i="12"/>
  <c r="H104" i="12" s="1"/>
  <c r="AJ104" i="12"/>
  <c r="AC104" i="12"/>
  <c r="AL103" i="12"/>
  <c r="H103" i="12" s="1"/>
  <c r="AI103" i="12"/>
  <c r="AJ103" i="12" s="1"/>
  <c r="AL102" i="12"/>
  <c r="H102" i="12" s="1"/>
  <c r="AI102" i="12"/>
  <c r="AJ102" i="12" s="1"/>
  <c r="AC102" i="12"/>
  <c r="AL101" i="12"/>
  <c r="H101" i="12" s="1"/>
  <c r="AI101" i="12"/>
  <c r="AL144" i="12"/>
  <c r="J144" i="12" s="1"/>
  <c r="AJ144" i="12"/>
  <c r="AC144" i="12"/>
  <c r="AC141" i="12" s="1"/>
  <c r="AL143" i="12"/>
  <c r="J143" i="12" s="1"/>
  <c r="AJ143" i="12"/>
  <c r="AL142" i="12"/>
  <c r="J142" i="12" s="1"/>
  <c r="AJ142" i="12"/>
  <c r="C22" i="29"/>
  <c r="AO14" i="12" l="1"/>
  <c r="C20" i="29"/>
  <c r="H106" i="12"/>
  <c r="J137" i="12"/>
  <c r="H120" i="12"/>
  <c r="H124" i="12"/>
  <c r="H109" i="12"/>
  <c r="J141" i="12"/>
  <c r="J140" i="12" s="1"/>
  <c r="AA137" i="12"/>
  <c r="AC109" i="12"/>
  <c r="AC124" i="12"/>
  <c r="AL124" i="12"/>
  <c r="AL120" i="12"/>
  <c r="AJ138" i="12"/>
  <c r="AJ137" i="12" s="1"/>
  <c r="AI137" i="12"/>
  <c r="AJ129" i="12"/>
  <c r="AI124" i="12"/>
  <c r="AL137" i="12"/>
  <c r="AI100" i="12"/>
  <c r="AJ123" i="12"/>
  <c r="AJ120" i="12" s="1"/>
  <c r="AI120" i="12"/>
  <c r="AJ141" i="12"/>
  <c r="AL141" i="12"/>
  <c r="AC100" i="12"/>
  <c r="AG124" i="12"/>
  <c r="AG99" i="12" s="1"/>
  <c r="AG98" i="12" s="1"/>
  <c r="AL105" i="12"/>
  <c r="H105" i="12" s="1"/>
  <c r="H100" i="12" s="1"/>
  <c r="AN100" i="12"/>
  <c r="AN99" i="12" s="1"/>
  <c r="AN98" i="12" s="1"/>
  <c r="AL109" i="12"/>
  <c r="AJ106" i="12"/>
  <c r="AL106" i="12"/>
  <c r="AJ115" i="12"/>
  <c r="AI109" i="12"/>
  <c r="AJ101" i="12"/>
  <c r="AJ100" i="12" s="1"/>
  <c r="AJ118" i="12"/>
  <c r="C12" i="29"/>
  <c r="H99" i="12" l="1"/>
  <c r="H98" i="12" s="1"/>
  <c r="H97" i="12" s="1"/>
  <c r="AC99" i="12"/>
  <c r="AC98" i="12" s="1"/>
  <c r="AJ124" i="12"/>
  <c r="AI99" i="12"/>
  <c r="AI98" i="12" s="1"/>
  <c r="AJ109" i="12"/>
  <c r="AL100" i="12"/>
  <c r="AL99" i="12" s="1"/>
  <c r="AL98" i="12" s="1"/>
  <c r="C10" i="29"/>
  <c r="C11" i="29"/>
  <c r="AJ99" i="12" l="1"/>
  <c r="AJ98" i="12" s="1"/>
  <c r="S36" i="12"/>
  <c r="N36" i="12"/>
  <c r="O36" i="12"/>
  <c r="P36" i="12"/>
  <c r="T36" i="12"/>
  <c r="U36" i="12"/>
  <c r="V36" i="12"/>
  <c r="D453" i="12"/>
  <c r="D483" i="12"/>
  <c r="K483" i="12"/>
  <c r="L483" i="12"/>
  <c r="M483" i="12"/>
  <c r="AN481" i="12"/>
  <c r="AO481" i="12"/>
  <c r="AP481" i="12"/>
  <c r="AN479" i="12"/>
  <c r="AO479" i="12"/>
  <c r="AP479" i="12"/>
  <c r="D479" i="12"/>
  <c r="D477" i="12"/>
  <c r="K477" i="12"/>
  <c r="L477" i="12"/>
  <c r="M477" i="12"/>
  <c r="AP428" i="12"/>
  <c r="AP427" i="12" s="1"/>
  <c r="AN453" i="12"/>
  <c r="AO453" i="12"/>
  <c r="AP453" i="12"/>
  <c r="AN477" i="12"/>
  <c r="AO477" i="12"/>
  <c r="AP477" i="12"/>
  <c r="K472" i="12"/>
  <c r="L472" i="12"/>
  <c r="M472" i="12"/>
  <c r="AP462" i="12"/>
  <c r="AL468" i="12"/>
  <c r="K456" i="12"/>
  <c r="L456" i="12"/>
  <c r="M456" i="12"/>
  <c r="K443" i="12"/>
  <c r="L443" i="12"/>
  <c r="M443" i="12"/>
  <c r="K436" i="12"/>
  <c r="L436" i="12"/>
  <c r="M436" i="12"/>
  <c r="K433" i="12"/>
  <c r="L433" i="12"/>
  <c r="M433" i="12"/>
  <c r="D431" i="12"/>
  <c r="K431" i="12"/>
  <c r="L431" i="12"/>
  <c r="M431" i="12"/>
  <c r="D429" i="12"/>
  <c r="D338" i="12"/>
  <c r="D336" i="12"/>
  <c r="AO323" i="12"/>
  <c r="AP323" i="12"/>
  <c r="AL324" i="12"/>
  <c r="AJ324" i="12"/>
  <c r="AG324" i="12"/>
  <c r="AG323" i="12" s="1"/>
  <c r="AN323" i="12"/>
  <c r="AM323" i="12"/>
  <c r="AK323" i="12"/>
  <c r="AI323" i="12"/>
  <c r="AH323" i="12"/>
  <c r="AF323" i="12"/>
  <c r="AE323" i="12"/>
  <c r="AD323" i="12"/>
  <c r="AC323" i="12"/>
  <c r="AB323" i="12"/>
  <c r="AA323" i="12"/>
  <c r="Z323" i="12"/>
  <c r="Y323" i="12"/>
  <c r="X323" i="12"/>
  <c r="W323" i="12"/>
  <c r="M323" i="12"/>
  <c r="L323" i="12"/>
  <c r="K323" i="12"/>
  <c r="D323" i="12"/>
  <c r="AR468" i="12" l="1"/>
  <c r="F468" i="12"/>
  <c r="AR324" i="12"/>
  <c r="J324" i="12"/>
  <c r="J323" i="12" s="1"/>
  <c r="AP449" i="12"/>
  <c r="AP448" i="12" s="1"/>
  <c r="AL323" i="12"/>
  <c r="AP476" i="12"/>
  <c r="D335" i="12"/>
  <c r="D334" i="12" s="1"/>
  <c r="D328" i="12" s="1"/>
  <c r="AJ323" i="12"/>
  <c r="AS468" i="12"/>
  <c r="AS324" i="12"/>
  <c r="D312" i="12"/>
  <c r="K313" i="12"/>
  <c r="L313" i="12"/>
  <c r="M313" i="12"/>
  <c r="Q311" i="12"/>
  <c r="Q36" i="12" s="1"/>
  <c r="R313" i="12"/>
  <c r="R311" i="12" s="1"/>
  <c r="R36" i="12" s="1"/>
  <c r="W312" i="12"/>
  <c r="X313" i="12"/>
  <c r="Y312" i="12"/>
  <c r="Z312" i="12"/>
  <c r="AB312" i="12"/>
  <c r="AC312" i="12"/>
  <c r="AD312" i="12"/>
  <c r="AE312" i="12"/>
  <c r="AF312" i="12"/>
  <c r="AP312" i="12"/>
  <c r="AO312" i="12"/>
  <c r="AN312" i="12"/>
  <c r="AM312" i="12"/>
  <c r="AK312" i="12"/>
  <c r="AI312" i="12"/>
  <c r="AH312" i="12"/>
  <c r="AG312" i="12"/>
  <c r="D320" i="12"/>
  <c r="D319" i="12" s="1"/>
  <c r="X320" i="12"/>
  <c r="Y320" i="12"/>
  <c r="Y319" i="12" s="1"/>
  <c r="Z320" i="12"/>
  <c r="Z319" i="12" s="1"/>
  <c r="AB320" i="12"/>
  <c r="AB319" i="12" s="1"/>
  <c r="AC320" i="12"/>
  <c r="AC319" i="12" s="1"/>
  <c r="AD320" i="12"/>
  <c r="AD319" i="12" s="1"/>
  <c r="AE320" i="12"/>
  <c r="AE319" i="12" s="1"/>
  <c r="AF320" i="12"/>
  <c r="AF319" i="12" s="1"/>
  <c r="AH320" i="12"/>
  <c r="AH319" i="12" s="1"/>
  <c r="AK320" i="12"/>
  <c r="AK319" i="12" s="1"/>
  <c r="AM320" i="12"/>
  <c r="AM319" i="12" s="1"/>
  <c r="AN320" i="12"/>
  <c r="AN319" i="12" s="1"/>
  <c r="AP320" i="12"/>
  <c r="AP319" i="12" s="1"/>
  <c r="W320" i="12"/>
  <c r="W319" i="12" s="1"/>
  <c r="AO321" i="12"/>
  <c r="AI321" i="12"/>
  <c r="AJ321" i="12" s="1"/>
  <c r="AG321" i="12"/>
  <c r="AG320" i="12" s="1"/>
  <c r="AG319" i="12" s="1"/>
  <c r="AA321" i="12"/>
  <c r="AL96" i="12"/>
  <c r="AL321" i="12" l="1"/>
  <c r="J321" i="12" s="1"/>
  <c r="AL95" i="12"/>
  <c r="F96" i="12"/>
  <c r="F95" i="12" s="1"/>
  <c r="AS323" i="12"/>
  <c r="AP311" i="12"/>
  <c r="D311" i="12"/>
  <c r="AP461" i="12"/>
  <c r="AP426" i="12" s="1"/>
  <c r="AP425" i="12" s="1"/>
  <c r="AO320" i="12"/>
  <c r="AO319" i="12" s="1"/>
  <c r="AR321" i="12"/>
  <c r="AS321" i="12"/>
  <c r="K360" i="12" l="1"/>
  <c r="L360" i="12"/>
  <c r="M360" i="12"/>
  <c r="D354" i="12"/>
  <c r="X354" i="12"/>
  <c r="Y354" i="12"/>
  <c r="Z354" i="12"/>
  <c r="AE354" i="12"/>
  <c r="AK354" i="12"/>
  <c r="AM354" i="12"/>
  <c r="AN354" i="12"/>
  <c r="AO354" i="12"/>
  <c r="AP354" i="12"/>
  <c r="W354" i="12"/>
  <c r="D345" i="12"/>
  <c r="X345" i="12"/>
  <c r="Y345" i="12"/>
  <c r="Z345" i="12"/>
  <c r="AB345" i="12"/>
  <c r="AD345" i="12"/>
  <c r="AE345" i="12"/>
  <c r="AF345" i="12"/>
  <c r="AG345" i="12"/>
  <c r="AH345" i="12"/>
  <c r="AK345" i="12"/>
  <c r="AM345" i="12"/>
  <c r="AN345" i="12"/>
  <c r="AO345" i="12"/>
  <c r="AP345" i="12"/>
  <c r="AL347" i="12"/>
  <c r="H347" i="12" s="1"/>
  <c r="AJ347" i="12"/>
  <c r="AC347" i="12"/>
  <c r="AA347" i="12" s="1"/>
  <c r="W347" i="12"/>
  <c r="W345" i="12" s="1"/>
  <c r="AL355" i="12"/>
  <c r="J355" i="12" s="1"/>
  <c r="AI355" i="12"/>
  <c r="AH355" i="12"/>
  <c r="AH354" i="12" s="1"/>
  <c r="AG355" i="12"/>
  <c r="AF355" i="12"/>
  <c r="AB355" i="12"/>
  <c r="AA355" i="12" s="1"/>
  <c r="AC345" i="12" l="1"/>
  <c r="AR347" i="12"/>
  <c r="AJ355" i="12"/>
  <c r="AR355" i="12"/>
  <c r="AS347" i="12" l="1"/>
  <c r="AS355" i="12" l="1"/>
  <c r="D408" i="12" l="1"/>
  <c r="D407" i="12" s="1"/>
  <c r="D406" i="12" s="1"/>
  <c r="D38" i="12" s="1"/>
  <c r="K408" i="12"/>
  <c r="K407" i="12" s="1"/>
  <c r="K406" i="12" s="1"/>
  <c r="L408" i="12"/>
  <c r="L407" i="12" s="1"/>
  <c r="L406" i="12" s="1"/>
  <c r="M408" i="12"/>
  <c r="M407" i="12" s="1"/>
  <c r="M406" i="12" s="1"/>
  <c r="K363" i="12"/>
  <c r="K362" i="12" s="1"/>
  <c r="L363" i="12"/>
  <c r="L362" i="12" s="1"/>
  <c r="M363" i="12"/>
  <c r="M362" i="12" s="1"/>
  <c r="D398" i="12"/>
  <c r="K398" i="12"/>
  <c r="L398" i="12"/>
  <c r="M398" i="12"/>
  <c r="D396" i="12"/>
  <c r="K373" i="12"/>
  <c r="L373" i="12"/>
  <c r="M373" i="12"/>
  <c r="K368" i="12"/>
  <c r="L368" i="12"/>
  <c r="M368" i="12"/>
  <c r="AO384" i="12"/>
  <c r="AP384" i="12"/>
  <c r="AO390" i="12"/>
  <c r="AO389" i="12" s="1"/>
  <c r="AP390" i="12"/>
  <c r="AP389" i="12" s="1"/>
  <c r="D390" i="12"/>
  <c r="D389" i="12" s="1"/>
  <c r="K390" i="12"/>
  <c r="L390" i="12"/>
  <c r="M390" i="12"/>
  <c r="K386" i="12"/>
  <c r="L386" i="12"/>
  <c r="M386" i="12"/>
  <c r="D384" i="12"/>
  <c r="D497" i="12" l="1"/>
  <c r="D492" i="12"/>
  <c r="K492" i="12"/>
  <c r="L492" i="12"/>
  <c r="M492" i="12"/>
  <c r="D494" i="12"/>
  <c r="D412" i="12"/>
  <c r="K422" i="12"/>
  <c r="K421" i="12" s="1"/>
  <c r="L422" i="12"/>
  <c r="L421" i="12" s="1"/>
  <c r="M422" i="12"/>
  <c r="M421" i="12" s="1"/>
  <c r="K415" i="12"/>
  <c r="K412" i="12" s="1"/>
  <c r="L415" i="12"/>
  <c r="L412" i="12" s="1"/>
  <c r="M415" i="12"/>
  <c r="M412" i="12" s="1"/>
  <c r="D308" i="12"/>
  <c r="D307" i="12" s="1"/>
  <c r="D306" i="12" s="1"/>
  <c r="K308" i="12"/>
  <c r="K307" i="12" s="1"/>
  <c r="K306" i="12" s="1"/>
  <c r="K305" i="12" s="1"/>
  <c r="L308" i="12"/>
  <c r="L307" i="12" s="1"/>
  <c r="L306" i="12" s="1"/>
  <c r="L305" i="12" s="1"/>
  <c r="M308" i="12"/>
  <c r="M307" i="12" s="1"/>
  <c r="M306" i="12" s="1"/>
  <c r="M305" i="12" s="1"/>
  <c r="D291" i="12"/>
  <c r="D290" i="12" s="1"/>
  <c r="D268" i="12" s="1"/>
  <c r="D267" i="12" s="1"/>
  <c r="X291" i="12"/>
  <c r="Y291" i="12"/>
  <c r="Z291" i="12"/>
  <c r="AB291" i="12"/>
  <c r="AC291" i="12"/>
  <c r="AD291" i="12"/>
  <c r="AE291" i="12"/>
  <c r="AF291" i="12"/>
  <c r="AG291" i="12"/>
  <c r="AH291" i="12"/>
  <c r="AI291" i="12"/>
  <c r="AK291" i="12"/>
  <c r="AM291" i="12"/>
  <c r="AN291" i="12"/>
  <c r="AO291" i="12"/>
  <c r="AP291" i="12"/>
  <c r="B302" i="12"/>
  <c r="AL297" i="12"/>
  <c r="F297" i="12" s="1"/>
  <c r="AJ297" i="12"/>
  <c r="AJ296" i="12" s="1"/>
  <c r="AA297" i="12"/>
  <c r="AA296" i="12" s="1"/>
  <c r="K291" i="12"/>
  <c r="K290" i="12" s="1"/>
  <c r="L291" i="12"/>
  <c r="L290" i="12" s="1"/>
  <c r="M291" i="12"/>
  <c r="M290" i="12" s="1"/>
  <c r="F296" i="12" l="1"/>
  <c r="AL296" i="12"/>
  <c r="D491" i="12"/>
  <c r="D490" i="12" s="1"/>
  <c r="D489" i="12" s="1"/>
  <c r="D305" i="12"/>
  <c r="D34" i="12"/>
  <c r="D32" i="12"/>
  <c r="K267" i="12"/>
  <c r="L267" i="12"/>
  <c r="M267" i="12"/>
  <c r="D264" i="12"/>
  <c r="D263" i="12" s="1"/>
  <c r="D262" i="12" s="1"/>
  <c r="D31" i="12" s="1"/>
  <c r="D256" i="12"/>
  <c r="D255" i="12" s="1"/>
  <c r="D258" i="12"/>
  <c r="K258" i="12"/>
  <c r="L258" i="12"/>
  <c r="M258" i="12"/>
  <c r="N255" i="12"/>
  <c r="N254" i="12" s="1"/>
  <c r="O255" i="12"/>
  <c r="O254" i="12" s="1"/>
  <c r="P255" i="12"/>
  <c r="P254" i="12" s="1"/>
  <c r="Q255" i="12"/>
  <c r="Q254" i="12" s="1"/>
  <c r="R255" i="12"/>
  <c r="R254" i="12" s="1"/>
  <c r="S255" i="12"/>
  <c r="S254" i="12" s="1"/>
  <c r="T255" i="12"/>
  <c r="T254" i="12" s="1"/>
  <c r="U255" i="12"/>
  <c r="U254" i="12" s="1"/>
  <c r="V255" i="12"/>
  <c r="V254" i="12" s="1"/>
  <c r="AI257" i="12"/>
  <c r="AO244" i="12"/>
  <c r="AO243" i="12" s="1"/>
  <c r="AP244" i="12"/>
  <c r="AP243" i="12" s="1"/>
  <c r="D244" i="12"/>
  <c r="D243" i="12" s="1"/>
  <c r="D248" i="12"/>
  <c r="D247" i="12" s="1"/>
  <c r="K248" i="12"/>
  <c r="K247" i="12" s="1"/>
  <c r="K239" i="12"/>
  <c r="K238" i="12" s="1"/>
  <c r="L239" i="12"/>
  <c r="L238" i="12" s="1"/>
  <c r="M239" i="12"/>
  <c r="M238" i="12" s="1"/>
  <c r="D236" i="12"/>
  <c r="D235" i="12" s="1"/>
  <c r="K236" i="12"/>
  <c r="K235" i="12" s="1"/>
  <c r="L236" i="12"/>
  <c r="L235" i="12" s="1"/>
  <c r="M236" i="12"/>
  <c r="M235" i="12" s="1"/>
  <c r="M218" i="12"/>
  <c r="L218" i="12"/>
  <c r="K218" i="12"/>
  <c r="D218" i="12"/>
  <c r="D228" i="12"/>
  <c r="D227" i="12" s="1"/>
  <c r="K228" i="12"/>
  <c r="K227" i="12" s="1"/>
  <c r="L228" i="12"/>
  <c r="L227" i="12" s="1"/>
  <c r="M228" i="12"/>
  <c r="M227" i="12" s="1"/>
  <c r="D231" i="12"/>
  <c r="D230" i="12" s="1"/>
  <c r="K231" i="12"/>
  <c r="K230" i="12" s="1"/>
  <c r="L231" i="12"/>
  <c r="L230" i="12" s="1"/>
  <c r="M231" i="12"/>
  <c r="M230" i="12" s="1"/>
  <c r="D221" i="12"/>
  <c r="K221" i="12"/>
  <c r="L221" i="12"/>
  <c r="M221" i="12"/>
  <c r="R218" i="12"/>
  <c r="R217" i="12" s="1"/>
  <c r="W218" i="12"/>
  <c r="X218" i="12"/>
  <c r="X217" i="12" s="1"/>
  <c r="Y218" i="12"/>
  <c r="Z218" i="12"/>
  <c r="AB218" i="12"/>
  <c r="AC218" i="12"/>
  <c r="AD218" i="12"/>
  <c r="AE218" i="12"/>
  <c r="AF218" i="12"/>
  <c r="AG218" i="12"/>
  <c r="AH218" i="12"/>
  <c r="AI218" i="12"/>
  <c r="K89" i="12"/>
  <c r="K88" i="12" s="1"/>
  <c r="L89" i="12"/>
  <c r="L88" i="12" s="1"/>
  <c r="M89" i="12"/>
  <c r="M88" i="12" s="1"/>
  <c r="D84" i="12"/>
  <c r="K85" i="12"/>
  <c r="K84" i="12" s="1"/>
  <c r="L85" i="12"/>
  <c r="L84" i="12" s="1"/>
  <c r="M85" i="12"/>
  <c r="M84" i="12" s="1"/>
  <c r="X73" i="12"/>
  <c r="Y73" i="12"/>
  <c r="Z73" i="12"/>
  <c r="AB73" i="12"/>
  <c r="AC73" i="12"/>
  <c r="AD73" i="12"/>
  <c r="AE73" i="12"/>
  <c r="AF73" i="12"/>
  <c r="AG73" i="12"/>
  <c r="AH73" i="12"/>
  <c r="AI73" i="12"/>
  <c r="AK73" i="12"/>
  <c r="AM73" i="12"/>
  <c r="AN73" i="12"/>
  <c r="AO73" i="12"/>
  <c r="AP73" i="12"/>
  <c r="M73" i="12"/>
  <c r="L73" i="12"/>
  <c r="K73" i="12"/>
  <c r="D73" i="12"/>
  <c r="M77" i="12"/>
  <c r="L77" i="12"/>
  <c r="K77" i="12"/>
  <c r="D77" i="12"/>
  <c r="X77" i="12"/>
  <c r="Y77" i="12"/>
  <c r="Z77" i="12"/>
  <c r="AB77" i="12"/>
  <c r="AC77" i="12"/>
  <c r="AD77" i="12"/>
  <c r="AE77" i="12"/>
  <c r="AF77" i="12"/>
  <c r="AG77" i="12"/>
  <c r="AH77" i="12"/>
  <c r="AI77" i="12"/>
  <c r="AK77" i="12"/>
  <c r="AM77" i="12"/>
  <c r="AN77" i="12"/>
  <c r="AO77" i="12"/>
  <c r="AP77" i="12"/>
  <c r="W77" i="12"/>
  <c r="W73" i="12"/>
  <c r="AL80" i="12"/>
  <c r="F80" i="12" s="1"/>
  <c r="AA80" i="12"/>
  <c r="D254" i="12" l="1"/>
  <c r="D30" i="12" s="1"/>
  <c r="AR297" i="12"/>
  <c r="K217" i="12"/>
  <c r="M83" i="12"/>
  <c r="D83" i="12"/>
  <c r="K83" i="12"/>
  <c r="D242" i="12"/>
  <c r="D29" i="12" s="1"/>
  <c r="AS80" i="12"/>
  <c r="L83" i="12"/>
  <c r="D217" i="12"/>
  <c r="L217" i="12"/>
  <c r="AA77" i="12"/>
  <c r="M217" i="12"/>
  <c r="L234" i="12"/>
  <c r="L28" i="12" s="1"/>
  <c r="K234" i="12"/>
  <c r="K28" i="12" s="1"/>
  <c r="M234" i="12"/>
  <c r="M28" i="12" s="1"/>
  <c r="D76" i="12"/>
  <c r="K76" i="12"/>
  <c r="L76" i="12"/>
  <c r="M76" i="12"/>
  <c r="AN67" i="12"/>
  <c r="AN66" i="12" s="1"/>
  <c r="AO67" i="12"/>
  <c r="AO66" i="12" s="1"/>
  <c r="AP67" i="12"/>
  <c r="AP66" i="12" s="1"/>
  <c r="AN62" i="12"/>
  <c r="AN61" i="12" s="1"/>
  <c r="AO62" i="12"/>
  <c r="AO61" i="12" s="1"/>
  <c r="AP62" i="12"/>
  <c r="AP61" i="12" s="1"/>
  <c r="AN76" i="12"/>
  <c r="AO76" i="12"/>
  <c r="AP76" i="12"/>
  <c r="AP60" i="12" l="1"/>
  <c r="AO60" i="12"/>
  <c r="AN60" i="12"/>
  <c r="M72" i="12"/>
  <c r="M71" i="12" s="1"/>
  <c r="M26" i="12" s="1"/>
  <c r="L72" i="12"/>
  <c r="L71" i="12" s="1"/>
  <c r="L26" i="12" s="1"/>
  <c r="K72" i="12"/>
  <c r="K71" i="12" s="1"/>
  <c r="K26" i="12" s="1"/>
  <c r="D72" i="12"/>
  <c r="D71" i="12" s="1"/>
  <c r="D26" i="12" s="1"/>
  <c r="X72" i="12"/>
  <c r="Y72" i="12"/>
  <c r="AM72" i="12"/>
  <c r="AN72" i="12"/>
  <c r="AN71" i="12" s="1"/>
  <c r="Z72" i="12"/>
  <c r="AB72" i="12"/>
  <c r="AC72" i="12"/>
  <c r="AD72" i="12"/>
  <c r="AE72" i="12"/>
  <c r="AF72" i="12"/>
  <c r="AG72" i="12"/>
  <c r="AH72" i="12"/>
  <c r="AI72" i="12"/>
  <c r="AK72" i="12"/>
  <c r="AO72" i="12"/>
  <c r="AO71" i="12" s="1"/>
  <c r="AP72" i="12"/>
  <c r="AP71" i="12" s="1"/>
  <c r="W72" i="12"/>
  <c r="AL75" i="12"/>
  <c r="J75" i="12" s="1"/>
  <c r="AJ75" i="12"/>
  <c r="AA75" i="12"/>
  <c r="AL74" i="12"/>
  <c r="AJ74" i="12"/>
  <c r="AA74" i="12"/>
  <c r="D67" i="12"/>
  <c r="D66" i="12" s="1"/>
  <c r="K67" i="12"/>
  <c r="K66" i="12" s="1"/>
  <c r="L67" i="12"/>
  <c r="L66" i="12" s="1"/>
  <c r="M67" i="12"/>
  <c r="M66" i="12" s="1"/>
  <c r="K500" i="12"/>
  <c r="K499" i="12" s="1"/>
  <c r="L500" i="12"/>
  <c r="L499" i="12" s="1"/>
  <c r="M500" i="12"/>
  <c r="M499" i="12" s="1"/>
  <c r="K506" i="12"/>
  <c r="K505" i="12" s="1"/>
  <c r="L506" i="12"/>
  <c r="L505" i="12" s="1"/>
  <c r="M506" i="12"/>
  <c r="M505" i="12" s="1"/>
  <c r="K509" i="12"/>
  <c r="K508" i="12" s="1"/>
  <c r="L509" i="12"/>
  <c r="L508" i="12" s="1"/>
  <c r="M509" i="12"/>
  <c r="M508" i="12" s="1"/>
  <c r="D62" i="12"/>
  <c r="D61" i="12" s="1"/>
  <c r="K62" i="12"/>
  <c r="K61" i="12" s="1"/>
  <c r="L62" i="12"/>
  <c r="L61" i="12" s="1"/>
  <c r="M62" i="12"/>
  <c r="M61" i="12" s="1"/>
  <c r="J74" i="12" l="1"/>
  <c r="J73" i="12" s="1"/>
  <c r="J72" i="12" s="1"/>
  <c r="J71" i="12" s="1"/>
  <c r="J26" i="12" s="1"/>
  <c r="AA73" i="12"/>
  <c r="AA72" i="12" s="1"/>
  <c r="AJ73" i="12"/>
  <c r="AJ72" i="12" s="1"/>
  <c r="AL73" i="12"/>
  <c r="AL72" i="12" s="1"/>
  <c r="M503" i="12"/>
  <c r="M42" i="12" s="1"/>
  <c r="K503" i="12"/>
  <c r="K42" i="12" s="1"/>
  <c r="L503" i="12"/>
  <c r="L42" i="12" s="1"/>
  <c r="M60" i="12"/>
  <c r="M25" i="12" s="1"/>
  <c r="L60" i="12"/>
  <c r="L25" i="12" s="1"/>
  <c r="K60" i="12"/>
  <c r="K25" i="12" s="1"/>
  <c r="D60" i="12"/>
  <c r="D25" i="12" s="1"/>
  <c r="AN412" i="12" l="1"/>
  <c r="AO412" i="12"/>
  <c r="AP412" i="12"/>
  <c r="M411" i="12"/>
  <c r="M39" i="12" s="1"/>
  <c r="L411" i="12"/>
  <c r="L39" i="12" s="1"/>
  <c r="K411" i="12"/>
  <c r="K39" i="12" s="1"/>
  <c r="D422" i="12"/>
  <c r="D421" i="12" s="1"/>
  <c r="D411" i="12" s="1"/>
  <c r="X422" i="12"/>
  <c r="X421" i="12" s="1"/>
  <c r="Y422" i="12"/>
  <c r="Y421" i="12" s="1"/>
  <c r="Z422" i="12"/>
  <c r="Z421" i="12" s="1"/>
  <c r="AA422" i="12"/>
  <c r="AA421" i="12" s="1"/>
  <c r="AB422" i="12"/>
  <c r="AB421" i="12" s="1"/>
  <c r="AC422" i="12"/>
  <c r="AC421" i="12" s="1"/>
  <c r="AD422" i="12"/>
  <c r="AD421" i="12" s="1"/>
  <c r="AE422" i="12"/>
  <c r="AE421" i="12" s="1"/>
  <c r="AF422" i="12"/>
  <c r="AF421" i="12" s="1"/>
  <c r="AG422" i="12"/>
  <c r="AG421" i="12" s="1"/>
  <c r="AH422" i="12"/>
  <c r="AH421" i="12" s="1"/>
  <c r="AI422" i="12"/>
  <c r="AI421" i="12" s="1"/>
  <c r="AJ422" i="12"/>
  <c r="AJ421" i="12" s="1"/>
  <c r="AK422" i="12"/>
  <c r="AK421" i="12" s="1"/>
  <c r="AM422" i="12"/>
  <c r="AM421" i="12" s="1"/>
  <c r="AN422" i="12"/>
  <c r="AN421" i="12" s="1"/>
  <c r="AO422" i="12"/>
  <c r="AO421" i="12" s="1"/>
  <c r="AP422" i="12"/>
  <c r="AP421" i="12" s="1"/>
  <c r="W422" i="12"/>
  <c r="W421" i="12" s="1"/>
  <c r="AL423" i="12"/>
  <c r="F423" i="12" s="1"/>
  <c r="F422" i="12" s="1"/>
  <c r="F421" i="12" s="1"/>
  <c r="F411" i="12" s="1"/>
  <c r="F39" i="12" s="1"/>
  <c r="AG49" i="12"/>
  <c r="AG48" i="12" s="1"/>
  <c r="AG17" i="12" s="1"/>
  <c r="AG69" i="12"/>
  <c r="AG67" i="12" s="1"/>
  <c r="AG66" i="12" s="1"/>
  <c r="AG62" i="12"/>
  <c r="AG61" i="12" s="1"/>
  <c r="AG76" i="12"/>
  <c r="AG84" i="12"/>
  <c r="AG134" i="12"/>
  <c r="AG133" i="12" s="1"/>
  <c r="AG136" i="12"/>
  <c r="AG135" i="12" s="1"/>
  <c r="AG221" i="12"/>
  <c r="AG217" i="12" s="1"/>
  <c r="AG228" i="12"/>
  <c r="AG227" i="12" s="1"/>
  <c r="AG231" i="12"/>
  <c r="AG230" i="12" s="1"/>
  <c r="AG237" i="12"/>
  <c r="AG236" i="12" s="1"/>
  <c r="AG235" i="12" s="1"/>
  <c r="AG239" i="12"/>
  <c r="AG238" i="12" s="1"/>
  <c r="AG244" i="12"/>
  <c r="AG243" i="12" s="1"/>
  <c r="AG248" i="12"/>
  <c r="AG247" i="12" s="1"/>
  <c r="AG256" i="12"/>
  <c r="AG255" i="12" s="1"/>
  <c r="AG258" i="12"/>
  <c r="AG264" i="12"/>
  <c r="AG263" i="12" s="1"/>
  <c r="AG262" i="12" s="1"/>
  <c r="AG31" i="12" s="1"/>
  <c r="AG290" i="12"/>
  <c r="AG268" i="12" s="1"/>
  <c r="AG267" i="12" s="1"/>
  <c r="AG308" i="12"/>
  <c r="AG307" i="12" s="1"/>
  <c r="AG306" i="12" s="1"/>
  <c r="AG336" i="12"/>
  <c r="AG338" i="12"/>
  <c r="AG348" i="12"/>
  <c r="AG358" i="12"/>
  <c r="AG354" i="12" s="1"/>
  <c r="AG360" i="12"/>
  <c r="AG363" i="12"/>
  <c r="AG362" i="12" s="1"/>
  <c r="AG369" i="12"/>
  <c r="AG370" i="12"/>
  <c r="AG371" i="12"/>
  <c r="AG373" i="12"/>
  <c r="AG376" i="12"/>
  <c r="AG384" i="12"/>
  <c r="AG390" i="12"/>
  <c r="AG389" i="12" s="1"/>
  <c r="AG396" i="12"/>
  <c r="AG398" i="12"/>
  <c r="AG401" i="12"/>
  <c r="AG408" i="12"/>
  <c r="AG407" i="12" s="1"/>
  <c r="AG406" i="12" s="1"/>
  <c r="AG38" i="12" s="1"/>
  <c r="AG412" i="12"/>
  <c r="AG429" i="12"/>
  <c r="AG431" i="12"/>
  <c r="AG433" i="12"/>
  <c r="AG436" i="12"/>
  <c r="AG444" i="12"/>
  <c r="AG443" i="12" s="1"/>
  <c r="AG445" i="12"/>
  <c r="AG453" i="12"/>
  <c r="AG456" i="12"/>
  <c r="AG459" i="12"/>
  <c r="AG458" i="12" s="1"/>
  <c r="AG462" i="12"/>
  <c r="AG477" i="12"/>
  <c r="AG479" i="12"/>
  <c r="AG481" i="12"/>
  <c r="AG483" i="12"/>
  <c r="AG492" i="12"/>
  <c r="AG494" i="12"/>
  <c r="AG497" i="12"/>
  <c r="AG500" i="12"/>
  <c r="AG499" i="12" s="1"/>
  <c r="AG506" i="12"/>
  <c r="AG505" i="12" s="1"/>
  <c r="AG503" i="12" s="1"/>
  <c r="AG42" i="12" s="1"/>
  <c r="AG368" i="12" l="1"/>
  <c r="AG449" i="12"/>
  <c r="AG448" i="12" s="1"/>
  <c r="AG435" i="12"/>
  <c r="AG395" i="12"/>
  <c r="AG394" i="12" s="1"/>
  <c r="AG411" i="12"/>
  <c r="AP411" i="12"/>
  <c r="AO411" i="12"/>
  <c r="AN411" i="12"/>
  <c r="D39" i="12"/>
  <c r="AG140" i="12"/>
  <c r="AG254" i="12"/>
  <c r="AG30" i="12" s="1"/>
  <c r="AG71" i="12"/>
  <c r="AG26" i="12" s="1"/>
  <c r="AL422" i="12"/>
  <c r="AL421" i="12" s="1"/>
  <c r="AG60" i="12"/>
  <c r="AG25" i="12" s="1"/>
  <c r="AG428" i="12"/>
  <c r="AG491" i="12"/>
  <c r="AG490" i="12" s="1"/>
  <c r="AG489" i="12" s="1"/>
  <c r="AG488" i="12" s="1"/>
  <c r="AG335" i="12"/>
  <c r="AG334" i="12" s="1"/>
  <c r="AG383" i="12"/>
  <c r="AG242" i="12"/>
  <c r="AG29" i="12" s="1"/>
  <c r="AG132" i="12"/>
  <c r="AG353" i="12"/>
  <c r="AG344" i="12"/>
  <c r="AG476" i="12"/>
  <c r="AG305" i="12"/>
  <c r="AG34" i="12"/>
  <c r="AG32" i="12"/>
  <c r="AG234" i="12"/>
  <c r="AG28" i="12" s="1"/>
  <c r="AG83" i="12"/>
  <c r="AJ257" i="12"/>
  <c r="AG328" i="12" l="1"/>
  <c r="AG311" i="12" s="1"/>
  <c r="AG36" i="12" s="1"/>
  <c r="AG367" i="12"/>
  <c r="AG366" i="12" s="1"/>
  <c r="AG39" i="12"/>
  <c r="AG427" i="12"/>
  <c r="AG131" i="12"/>
  <c r="AG97" i="12" s="1"/>
  <c r="AG382" i="12"/>
  <c r="AG461" i="12"/>
  <c r="AG365" i="12" l="1"/>
  <c r="AG343" i="12" s="1"/>
  <c r="AG37" i="12" s="1"/>
  <c r="AG82" i="12"/>
  <c r="AG27" i="12" s="1"/>
  <c r="AG426" i="12"/>
  <c r="AG425" i="12" s="1"/>
  <c r="AG40" i="12" s="1"/>
  <c r="X500" i="12"/>
  <c r="X499" i="12" s="1"/>
  <c r="Y500" i="12"/>
  <c r="Y499" i="12" s="1"/>
  <c r="Z500" i="12"/>
  <c r="Z499" i="12" s="1"/>
  <c r="AA500" i="12"/>
  <c r="AA499" i="12" s="1"/>
  <c r="AB500" i="12"/>
  <c r="AB499" i="12" s="1"/>
  <c r="AC500" i="12"/>
  <c r="AC499" i="12" s="1"/>
  <c r="AD500" i="12"/>
  <c r="AD499" i="12" s="1"/>
  <c r="AE500" i="12"/>
  <c r="AE499" i="12" s="1"/>
  <c r="AF500" i="12"/>
  <c r="AF499" i="12" s="1"/>
  <c r="AH500" i="12"/>
  <c r="AH499" i="12" s="1"/>
  <c r="AI500" i="12"/>
  <c r="AI499" i="12" s="1"/>
  <c r="AK500" i="12"/>
  <c r="AK499" i="12" s="1"/>
  <c r="AM500" i="12"/>
  <c r="AM499" i="12" s="1"/>
  <c r="AN500" i="12"/>
  <c r="AN499" i="12" s="1"/>
  <c r="AO500" i="12"/>
  <c r="AO499" i="12" s="1"/>
  <c r="AP500" i="12"/>
  <c r="AP499" i="12" s="1"/>
  <c r="AP488" i="12" s="1"/>
  <c r="D500" i="12"/>
  <c r="D499" i="12" s="1"/>
  <c r="D488" i="12" s="1"/>
  <c r="D41" i="12" s="1"/>
  <c r="W500" i="12"/>
  <c r="W499" i="12" s="1"/>
  <c r="AG43" i="12" l="1"/>
  <c r="AG18" i="12"/>
  <c r="AG15" i="12" s="1"/>
  <c r="AG59" i="12"/>
  <c r="AL501" i="12"/>
  <c r="H501" i="12" s="1"/>
  <c r="H500" i="12" s="1"/>
  <c r="H499" i="12" s="1"/>
  <c r="H488" i="12" s="1"/>
  <c r="H41" i="12" s="1"/>
  <c r="AJ501" i="12"/>
  <c r="AJ500" i="12" s="1"/>
  <c r="AJ499" i="12" s="1"/>
  <c r="AP221" i="12"/>
  <c r="AO221" i="12"/>
  <c r="AN221" i="12"/>
  <c r="AM221" i="12"/>
  <c r="AK221" i="12"/>
  <c r="AI221" i="12"/>
  <c r="AI217" i="12" s="1"/>
  <c r="AH221" i="12"/>
  <c r="AH217" i="12" s="1"/>
  <c r="AF221" i="12"/>
  <c r="AF217" i="12" s="1"/>
  <c r="AE221" i="12"/>
  <c r="AE217" i="12" s="1"/>
  <c r="AD221" i="12"/>
  <c r="AD217" i="12" s="1"/>
  <c r="AC221" i="12"/>
  <c r="AC217" i="12" s="1"/>
  <c r="AB221" i="12"/>
  <c r="AB217" i="12" s="1"/>
  <c r="Z221" i="12"/>
  <c r="Z217" i="12" s="1"/>
  <c r="Y221" i="12"/>
  <c r="Y217" i="12" s="1"/>
  <c r="W221" i="12"/>
  <c r="W217" i="12" s="1"/>
  <c r="AL226" i="12"/>
  <c r="H226" i="12" s="1"/>
  <c r="AL225" i="12"/>
  <c r="H225" i="12" s="1"/>
  <c r="AL224" i="12"/>
  <c r="H224" i="12" s="1"/>
  <c r="AJ226" i="12"/>
  <c r="AJ225" i="12"/>
  <c r="AJ224" i="12"/>
  <c r="AK218" i="12"/>
  <c r="AM218" i="12"/>
  <c r="AN218" i="12"/>
  <c r="AO218" i="12"/>
  <c r="AP218" i="12"/>
  <c r="AM217" i="12" l="1"/>
  <c r="AL500" i="12"/>
  <c r="AL499" i="12" s="1"/>
  <c r="AK217" i="12"/>
  <c r="AP217" i="12"/>
  <c r="AN217" i="12"/>
  <c r="AO217" i="12"/>
  <c r="D239" i="12"/>
  <c r="D238" i="12" s="1"/>
  <c r="D234" i="12" s="1"/>
  <c r="D28" i="12" s="1"/>
  <c r="AP234" i="12"/>
  <c r="AL240" i="12"/>
  <c r="F240" i="12" s="1"/>
  <c r="F239" i="12" s="1"/>
  <c r="F238" i="12" s="1"/>
  <c r="F234" i="12" s="1"/>
  <c r="F28" i="12" s="1"/>
  <c r="AO239" i="12"/>
  <c r="AN239" i="12"/>
  <c r="AK239" i="12"/>
  <c r="AJ239" i="12"/>
  <c r="AI239" i="12"/>
  <c r="AH239" i="12"/>
  <c r="AF239" i="12"/>
  <c r="AE239" i="12"/>
  <c r="AD239" i="12"/>
  <c r="AC239" i="12"/>
  <c r="AB239" i="12"/>
  <c r="AA239" i="12"/>
  <c r="Z239" i="12"/>
  <c r="Y239" i="12"/>
  <c r="X239" i="12"/>
  <c r="W239" i="12"/>
  <c r="M401" i="12"/>
  <c r="L401" i="12"/>
  <c r="K401" i="12"/>
  <c r="D401" i="12"/>
  <c r="D395" i="12" s="1"/>
  <c r="AL402" i="12"/>
  <c r="F402" i="12" s="1"/>
  <c r="F401" i="12" s="1"/>
  <c r="AO401" i="12"/>
  <c r="AN401" i="12"/>
  <c r="AM401" i="12"/>
  <c r="AK401" i="12"/>
  <c r="AJ401" i="12"/>
  <c r="AI401" i="12"/>
  <c r="AH401" i="12"/>
  <c r="AF401" i="12"/>
  <c r="AE401" i="12"/>
  <c r="AD401" i="12"/>
  <c r="AC401" i="12"/>
  <c r="AB401" i="12"/>
  <c r="AA401" i="12"/>
  <c r="Z401" i="12"/>
  <c r="Y401" i="12"/>
  <c r="X401" i="12"/>
  <c r="W401" i="12"/>
  <c r="D383" i="12"/>
  <c r="D382" i="12" s="1"/>
  <c r="X386" i="12"/>
  <c r="AO383" i="12"/>
  <c r="AP383" i="12"/>
  <c r="AP382" i="12" s="1"/>
  <c r="D394" i="12" l="1"/>
  <c r="AL401" i="12"/>
  <c r="AL239" i="12"/>
  <c r="AM239" i="12"/>
  <c r="M376" i="12"/>
  <c r="L376" i="12"/>
  <c r="K376" i="12"/>
  <c r="D376" i="12"/>
  <c r="AA377" i="12"/>
  <c r="AA374" i="12"/>
  <c r="AA371" i="12"/>
  <c r="AA370" i="12"/>
  <c r="AA369" i="12"/>
  <c r="AA368" i="12" l="1"/>
  <c r="X376" i="12"/>
  <c r="Y376" i="12"/>
  <c r="Z376" i="12"/>
  <c r="AA376" i="12"/>
  <c r="AB376" i="12"/>
  <c r="AC376" i="12"/>
  <c r="AD376" i="12"/>
  <c r="AE376" i="12"/>
  <c r="AF376" i="12"/>
  <c r="AH376" i="12"/>
  <c r="AI376" i="12"/>
  <c r="AK376" i="12"/>
  <c r="AM376" i="12"/>
  <c r="AN376" i="12"/>
  <c r="AO376" i="12"/>
  <c r="AP376" i="12"/>
  <c r="AL378" i="12"/>
  <c r="H378" i="12" s="1"/>
  <c r="AJ378" i="12"/>
  <c r="AL377" i="12"/>
  <c r="H377" i="12" s="1"/>
  <c r="AJ377" i="12"/>
  <c r="W376" i="12"/>
  <c r="AA357" i="12"/>
  <c r="AL357" i="12"/>
  <c r="J357" i="12" s="1"/>
  <c r="AJ357" i="12"/>
  <c r="M348" i="12"/>
  <c r="L348" i="12"/>
  <c r="K348" i="12"/>
  <c r="D348" i="12"/>
  <c r="D344" i="12" s="1"/>
  <c r="AM348" i="12"/>
  <c r="AK348" i="12"/>
  <c r="AH348" i="12"/>
  <c r="AF348" i="12"/>
  <c r="AE348" i="12"/>
  <c r="AD348" i="12"/>
  <c r="AB348" i="12"/>
  <c r="Z348" i="12"/>
  <c r="Y348" i="12"/>
  <c r="X348" i="12"/>
  <c r="W348" i="12"/>
  <c r="AO348" i="12"/>
  <c r="AP348" i="12"/>
  <c r="AP344" i="12" s="1"/>
  <c r="AA352" i="12"/>
  <c r="AN348" i="12"/>
  <c r="AJ352" i="12"/>
  <c r="AC350" i="12"/>
  <c r="AC348" i="12" s="1"/>
  <c r="AA351" i="12"/>
  <c r="AL351" i="12"/>
  <c r="H351" i="12" s="1"/>
  <c r="AJ351" i="12"/>
  <c r="M345" i="12"/>
  <c r="L345" i="12"/>
  <c r="K345" i="12"/>
  <c r="AI346" i="12"/>
  <c r="AI345" i="12" s="1"/>
  <c r="AA346" i="12"/>
  <c r="AA345" i="12" s="1"/>
  <c r="AL346" i="12"/>
  <c r="AN308" i="12"/>
  <c r="AN307" i="12" s="1"/>
  <c r="AN306" i="12" s="1"/>
  <c r="AN305" i="12" s="1"/>
  <c r="AO308" i="12"/>
  <c r="AO307" i="12" s="1"/>
  <c r="AO306" i="12" s="1"/>
  <c r="AO305" i="12" s="1"/>
  <c r="AP308" i="12"/>
  <c r="AP307" i="12" s="1"/>
  <c r="AP306" i="12" s="1"/>
  <c r="AP305" i="12" s="1"/>
  <c r="AA309" i="12"/>
  <c r="AA295" i="12"/>
  <c r="AA294" i="12"/>
  <c r="AB237" i="12"/>
  <c r="AA237" i="12" s="1"/>
  <c r="AF237" i="12"/>
  <c r="AL52" i="12"/>
  <c r="AQ52" i="12" s="1"/>
  <c r="AI350" i="12"/>
  <c r="AJ350" i="12" s="1"/>
  <c r="AL350" i="12"/>
  <c r="H350" i="12" s="1"/>
  <c r="H346" i="12" l="1"/>
  <c r="H345" i="12" s="1"/>
  <c r="H376" i="12"/>
  <c r="AP367" i="12"/>
  <c r="AP366" i="12" s="1"/>
  <c r="AL345" i="12"/>
  <c r="L344" i="12"/>
  <c r="M344" i="12"/>
  <c r="K344" i="12"/>
  <c r="AJ346" i="12"/>
  <c r="AJ345" i="12" s="1"/>
  <c r="AL376" i="12"/>
  <c r="AJ376" i="12"/>
  <c r="AL352" i="12"/>
  <c r="H352" i="12" s="1"/>
  <c r="AA350" i="12"/>
  <c r="AA348" i="12" s="1"/>
  <c r="AI348" i="12"/>
  <c r="M248" i="12"/>
  <c r="L248" i="12"/>
  <c r="X248" i="12"/>
  <c r="Y248" i="12"/>
  <c r="Z248" i="12"/>
  <c r="AB248" i="12"/>
  <c r="AC248" i="12"/>
  <c r="AD248" i="12"/>
  <c r="AE248" i="12"/>
  <c r="AF248" i="12"/>
  <c r="AH248" i="12"/>
  <c r="AI248" i="12"/>
  <c r="AK248" i="12"/>
  <c r="AM248" i="12"/>
  <c r="AN248" i="12"/>
  <c r="AO248" i="12"/>
  <c r="AP248" i="12"/>
  <c r="W248" i="12"/>
  <c r="AL252" i="12"/>
  <c r="F252" i="12" s="1"/>
  <c r="AA252" i="12"/>
  <c r="AK62" i="12" l="1"/>
  <c r="AI62" i="12"/>
  <c r="AH62" i="12"/>
  <c r="AF62" i="12"/>
  <c r="AE62" i="12"/>
  <c r="AD62" i="12"/>
  <c r="AC62" i="12"/>
  <c r="AB62" i="12"/>
  <c r="Z62" i="12"/>
  <c r="Y62" i="12"/>
  <c r="X62" i="12"/>
  <c r="W62" i="12"/>
  <c r="AM62" i="12"/>
  <c r="AA250" i="12"/>
  <c r="AA229" i="12"/>
  <c r="AO503" i="12" l="1"/>
  <c r="AO42" i="12" s="1"/>
  <c r="AP503" i="12"/>
  <c r="AP42" i="12" s="1"/>
  <c r="AD503" i="12"/>
  <c r="AE503" i="12"/>
  <c r="AF503" i="12"/>
  <c r="AL510" i="12"/>
  <c r="F510" i="12" s="1"/>
  <c r="F509" i="12" s="1"/>
  <c r="F508" i="12" s="1"/>
  <c r="F503" i="12" s="1"/>
  <c r="F42" i="12" s="1"/>
  <c r="X509" i="12"/>
  <c r="X508" i="12" s="1"/>
  <c r="Y509" i="12"/>
  <c r="Y508" i="12" s="1"/>
  <c r="Z509" i="12"/>
  <c r="Z508" i="12" s="1"/>
  <c r="AB509" i="12"/>
  <c r="AB508" i="12" s="1"/>
  <c r="AB503" i="12" s="1"/>
  <c r="AK509" i="12"/>
  <c r="AK508" i="12" s="1"/>
  <c r="AM509" i="12"/>
  <c r="AM508" i="12" s="1"/>
  <c r="AM503" i="12" s="1"/>
  <c r="AM42" i="12" s="1"/>
  <c r="E36" i="21" s="1"/>
  <c r="W509" i="12"/>
  <c r="W508" i="12" s="1"/>
  <c r="D509" i="12"/>
  <c r="D508" i="12" s="1"/>
  <c r="AA510" i="12"/>
  <c r="AA509" i="12" s="1"/>
  <c r="AA508" i="12" s="1"/>
  <c r="X506" i="12"/>
  <c r="X505" i="12" s="1"/>
  <c r="Y506" i="12"/>
  <c r="Y505" i="12" s="1"/>
  <c r="Z506" i="12"/>
  <c r="Z505" i="12" s="1"/>
  <c r="AC506" i="12"/>
  <c r="AC505" i="12" s="1"/>
  <c r="AC503" i="12" s="1"/>
  <c r="AH506" i="12"/>
  <c r="AH505" i="12" s="1"/>
  <c r="AH503" i="12" s="1"/>
  <c r="AI506" i="12"/>
  <c r="AI505" i="12" s="1"/>
  <c r="AI503" i="12" s="1"/>
  <c r="AK506" i="12"/>
  <c r="AK505" i="12" s="1"/>
  <c r="AN506" i="12"/>
  <c r="AN505" i="12" s="1"/>
  <c r="AN503" i="12" s="1"/>
  <c r="AN42" i="12" s="1"/>
  <c r="W506" i="12"/>
  <c r="W505" i="12" s="1"/>
  <c r="D506" i="12"/>
  <c r="D505" i="12" s="1"/>
  <c r="AR511" i="12"/>
  <c r="AS511" i="12"/>
  <c r="D503" i="12" l="1"/>
  <c r="D42" i="12" s="1"/>
  <c r="W503" i="12"/>
  <c r="Y503" i="12"/>
  <c r="X503" i="12"/>
  <c r="Z503" i="12"/>
  <c r="AK503" i="12"/>
  <c r="AL509" i="12"/>
  <c r="AL508" i="12" s="1"/>
  <c r="AA223" i="12" l="1"/>
  <c r="AA222" i="12"/>
  <c r="AA220" i="12"/>
  <c r="AA219" i="12"/>
  <c r="AA265" i="12"/>
  <c r="D363" i="12"/>
  <c r="D362" i="12" s="1"/>
  <c r="AP258" i="12"/>
  <c r="AO258" i="12"/>
  <c r="AN258" i="12"/>
  <c r="AM258" i="12"/>
  <c r="AK258" i="12"/>
  <c r="AI258" i="12"/>
  <c r="AH258" i="12"/>
  <c r="AF258" i="12"/>
  <c r="AE258" i="12"/>
  <c r="AD258" i="12"/>
  <c r="AC258" i="12"/>
  <c r="AB258" i="12"/>
  <c r="Z258" i="12"/>
  <c r="Y258" i="12"/>
  <c r="W258" i="12"/>
  <c r="AA218" i="12" l="1"/>
  <c r="AA221" i="12"/>
  <c r="AA217" i="12" l="1"/>
  <c r="AA65" i="12" l="1"/>
  <c r="AA64" i="12"/>
  <c r="AA62" i="12" l="1"/>
  <c r="AL65" i="12"/>
  <c r="H65" i="12" s="1"/>
  <c r="AJ65" i="12"/>
  <c r="AR65" i="12" s="1"/>
  <c r="AR70" i="12"/>
  <c r="AS70" i="12"/>
  <c r="AA87" i="12"/>
  <c r="AA86" i="12" s="1"/>
  <c r="AA85" i="12" s="1"/>
  <c r="AA96" i="12"/>
  <c r="AA95" i="12" s="1"/>
  <c r="AA94" i="12"/>
  <c r="AA93" i="12"/>
  <c r="AA92" i="12"/>
  <c r="AA91" i="12"/>
  <c r="AA90" i="12" l="1"/>
  <c r="AA89" i="12" s="1"/>
  <c r="AA88" i="12" s="1"/>
  <c r="AS65" i="12"/>
  <c r="AA507" i="12" l="1"/>
  <c r="AA506" i="12" s="1"/>
  <c r="AA505" i="12" s="1"/>
  <c r="AL504" i="12" l="1"/>
  <c r="AL507" i="12"/>
  <c r="H507" i="12" s="1"/>
  <c r="H506" i="12" s="1"/>
  <c r="H505" i="12" s="1"/>
  <c r="H503" i="12" s="1"/>
  <c r="H42" i="12" s="1"/>
  <c r="AJ507" i="12"/>
  <c r="AL295" i="12"/>
  <c r="F295" i="12" s="1"/>
  <c r="AL294" i="12"/>
  <c r="F294" i="12" s="1"/>
  <c r="AL293" i="12"/>
  <c r="AA293" i="12"/>
  <c r="AA292" i="12" s="1"/>
  <c r="AJ293" i="12"/>
  <c r="AL274" i="12"/>
  <c r="H274" i="12" s="1"/>
  <c r="AL273" i="12"/>
  <c r="AL288" i="12"/>
  <c r="H288" i="12" s="1"/>
  <c r="AL287" i="12"/>
  <c r="H287" i="12" s="1"/>
  <c r="AL265" i="12"/>
  <c r="AL260" i="12"/>
  <c r="F260" i="12" s="1"/>
  <c r="AL259" i="12"/>
  <c r="F259" i="12" s="1"/>
  <c r="AA274" i="12"/>
  <c r="AA273" i="12"/>
  <c r="AA288" i="12"/>
  <c r="AA287" i="12"/>
  <c r="AJ274" i="12"/>
  <c r="AJ273" i="12"/>
  <c r="J265" i="12" l="1"/>
  <c r="J264" i="12" s="1"/>
  <c r="J263" i="12" s="1"/>
  <c r="J262" i="12" s="1"/>
  <c r="J31" i="12" s="1"/>
  <c r="H273" i="12"/>
  <c r="J504" i="12"/>
  <c r="J503" i="12" s="1"/>
  <c r="J42" i="12" s="1"/>
  <c r="F258" i="12"/>
  <c r="F254" i="12" s="1"/>
  <c r="F30" i="12" s="1"/>
  <c r="H272" i="12"/>
  <c r="AL292" i="12"/>
  <c r="F293" i="12"/>
  <c r="F292" i="12" s="1"/>
  <c r="AA286" i="12"/>
  <c r="AL272" i="12"/>
  <c r="AA291" i="12"/>
  <c r="AA290" i="12" s="1"/>
  <c r="AJ272" i="12"/>
  <c r="AA272" i="12"/>
  <c r="AL506" i="12"/>
  <c r="AL505" i="12" s="1"/>
  <c r="AL503" i="12" s="1"/>
  <c r="AL42" i="12" s="1"/>
  <c r="AJ506" i="12"/>
  <c r="AJ505" i="12" s="1"/>
  <c r="AL258" i="12"/>
  <c r="AJ288" i="12"/>
  <c r="AJ287" i="12"/>
  <c r="AA260" i="12"/>
  <c r="AJ260" i="12"/>
  <c r="AJ258" i="12" s="1"/>
  <c r="AA259" i="12"/>
  <c r="AR261" i="12"/>
  <c r="AS261" i="12"/>
  <c r="AJ91" i="12"/>
  <c r="AJ92" i="12"/>
  <c r="AJ93" i="12"/>
  <c r="AJ94" i="12"/>
  <c r="AL91" i="12"/>
  <c r="AL92" i="12"/>
  <c r="F92" i="12" s="1"/>
  <c r="AL93" i="12"/>
  <c r="F93" i="12" s="1"/>
  <c r="AL94" i="12"/>
  <c r="F94" i="12" s="1"/>
  <c r="AJ349" i="12"/>
  <c r="AJ348" i="12" s="1"/>
  <c r="AL349" i="12"/>
  <c r="AL409" i="12"/>
  <c r="AL364" i="12"/>
  <c r="F364" i="12" s="1"/>
  <c r="F363" i="12" s="1"/>
  <c r="F362" i="12" s="1"/>
  <c r="AL361" i="12"/>
  <c r="J361" i="12" s="1"/>
  <c r="J360" i="12" s="1"/>
  <c r="AL358" i="12"/>
  <c r="J358" i="12" s="1"/>
  <c r="AL356" i="12"/>
  <c r="J356" i="12" s="1"/>
  <c r="AL322" i="12"/>
  <c r="AL316" i="12"/>
  <c r="H316" i="12" s="1"/>
  <c r="AL315" i="12"/>
  <c r="H315" i="12" s="1"/>
  <c r="AL251" i="12"/>
  <c r="F251" i="12" s="1"/>
  <c r="AL68" i="12"/>
  <c r="J68" i="12" s="1"/>
  <c r="AI57" i="12"/>
  <c r="AA57" i="12"/>
  <c r="AA504" i="12"/>
  <c r="AA503" i="12" s="1"/>
  <c r="AA409" i="12"/>
  <c r="AC359" i="12"/>
  <c r="AC354" i="12" s="1"/>
  <c r="AD359" i="12"/>
  <c r="AA322" i="12"/>
  <c r="AI322" i="12"/>
  <c r="AJ316" i="12"/>
  <c r="AA316" i="12"/>
  <c r="AA315" i="12"/>
  <c r="AJ315" i="12"/>
  <c r="AA251" i="12"/>
  <c r="AA68" i="12"/>
  <c r="AA67" i="12" s="1"/>
  <c r="AA66" i="12" s="1"/>
  <c r="AI361" i="12"/>
  <c r="AF361" i="12"/>
  <c r="AF360" i="12" s="1"/>
  <c r="AC361" i="12"/>
  <c r="AF358" i="12"/>
  <c r="AF354" i="12" s="1"/>
  <c r="AI358" i="12"/>
  <c r="AB358" i="12"/>
  <c r="AB354" i="12" s="1"/>
  <c r="AO247" i="12"/>
  <c r="AO242" i="12" s="1"/>
  <c r="AP247" i="12"/>
  <c r="AP242" i="12" s="1"/>
  <c r="AO360" i="12"/>
  <c r="AO373" i="12"/>
  <c r="AO382" i="12"/>
  <c r="AO396" i="12"/>
  <c r="AO398" i="12"/>
  <c r="AO363" i="12"/>
  <c r="AO362" i="12" s="1"/>
  <c r="AP363" i="12"/>
  <c r="AP362" i="12" s="1"/>
  <c r="X363" i="12"/>
  <c r="X362" i="12" s="1"/>
  <c r="Y363" i="12"/>
  <c r="Y362" i="12" s="1"/>
  <c r="Z363" i="12"/>
  <c r="Z362" i="12" s="1"/>
  <c r="AA363" i="12"/>
  <c r="AA362" i="12" s="1"/>
  <c r="AB363" i="12"/>
  <c r="AB362" i="12" s="1"/>
  <c r="AC363" i="12"/>
  <c r="AC362" i="12" s="1"/>
  <c r="AD363" i="12"/>
  <c r="AD362" i="12" s="1"/>
  <c r="AE363" i="12"/>
  <c r="AE362" i="12" s="1"/>
  <c r="AF363" i="12"/>
  <c r="AF362" i="12" s="1"/>
  <c r="AH363" i="12"/>
  <c r="AH362" i="12" s="1"/>
  <c r="AI363" i="12"/>
  <c r="AI362" i="12" s="1"/>
  <c r="AJ363" i="12"/>
  <c r="AJ362" i="12" s="1"/>
  <c r="AK363" i="12"/>
  <c r="AK362" i="12" s="1"/>
  <c r="AM363" i="12"/>
  <c r="AM362" i="12" s="1"/>
  <c r="AN363" i="12"/>
  <c r="AN362" i="12" s="1"/>
  <c r="W363" i="12"/>
  <c r="W362" i="12" s="1"/>
  <c r="X360" i="12"/>
  <c r="X368" i="12"/>
  <c r="X373" i="12"/>
  <c r="X384" i="12"/>
  <c r="X390" i="12"/>
  <c r="X396" i="12"/>
  <c r="X398" i="12"/>
  <c r="Y360" i="12"/>
  <c r="Y373" i="12"/>
  <c r="Y384" i="12"/>
  <c r="Y390" i="12"/>
  <c r="Y389" i="12" s="1"/>
  <c r="Y396" i="12"/>
  <c r="Y398" i="12"/>
  <c r="Z360" i="12"/>
  <c r="Z373" i="12"/>
  <c r="Z367" i="12" s="1"/>
  <c r="Z384" i="12"/>
  <c r="Z390" i="12"/>
  <c r="Z389" i="12" s="1"/>
  <c r="Z396" i="12"/>
  <c r="Z398" i="12"/>
  <c r="AD358" i="12"/>
  <c r="AA356" i="12"/>
  <c r="AA373" i="12"/>
  <c r="AA367" i="12" s="1"/>
  <c r="AA384" i="12"/>
  <c r="AA391" i="12"/>
  <c r="AA390" i="12" s="1"/>
  <c r="AA389" i="12" s="1"/>
  <c r="AA397" i="12"/>
  <c r="AA400" i="12"/>
  <c r="AA398" i="12" s="1"/>
  <c r="AB360" i="12"/>
  <c r="AB373" i="12"/>
  <c r="AB384" i="12"/>
  <c r="AB390" i="12"/>
  <c r="AB389" i="12" s="1"/>
  <c r="AB396" i="12"/>
  <c r="AB398" i="12"/>
  <c r="AC373" i="12"/>
  <c r="AC384" i="12"/>
  <c r="AC390" i="12"/>
  <c r="AC389" i="12" s="1"/>
  <c r="AC396" i="12"/>
  <c r="AC398" i="12"/>
  <c r="AD360" i="12"/>
  <c r="AD373" i="12"/>
  <c r="AD384" i="12"/>
  <c r="AD390" i="12"/>
  <c r="AD389" i="12" s="1"/>
  <c r="AD396" i="12"/>
  <c r="AD398" i="12"/>
  <c r="AE360" i="12"/>
  <c r="AE373" i="12"/>
  <c r="AE367" i="12" s="1"/>
  <c r="AE384" i="12"/>
  <c r="AE390" i="12"/>
  <c r="AE389" i="12" s="1"/>
  <c r="AE396" i="12"/>
  <c r="AE398" i="12"/>
  <c r="AF373" i="12"/>
  <c r="AF384" i="12"/>
  <c r="AF390" i="12"/>
  <c r="AF389" i="12" s="1"/>
  <c r="AF396" i="12"/>
  <c r="AF398" i="12"/>
  <c r="AK370" i="12"/>
  <c r="AK371" i="12"/>
  <c r="AH361" i="12"/>
  <c r="AH360" i="12" s="1"/>
  <c r="AH373" i="12"/>
  <c r="AH367" i="12" s="1"/>
  <c r="AH384" i="12"/>
  <c r="AH390" i="12"/>
  <c r="AH389" i="12" s="1"/>
  <c r="AH396" i="12"/>
  <c r="AH398" i="12"/>
  <c r="AI356" i="12"/>
  <c r="AI373" i="12"/>
  <c r="AI384" i="12"/>
  <c r="AI390" i="12"/>
  <c r="AI389" i="12" s="1"/>
  <c r="AI396" i="12"/>
  <c r="AI398" i="12"/>
  <c r="AJ359" i="12"/>
  <c r="AJ369" i="12"/>
  <c r="AJ370" i="12"/>
  <c r="AJ371" i="12"/>
  <c r="AJ374" i="12"/>
  <c r="AJ387" i="12"/>
  <c r="AJ388" i="12"/>
  <c r="AJ391" i="12"/>
  <c r="AJ390" i="12" s="1"/>
  <c r="AJ389" i="12" s="1"/>
  <c r="AJ397" i="12"/>
  <c r="AJ396" i="12" s="1"/>
  <c r="AJ399" i="12"/>
  <c r="AJ400" i="12"/>
  <c r="AK360" i="12"/>
  <c r="AK373" i="12"/>
  <c r="AK384" i="12"/>
  <c r="AK390" i="12"/>
  <c r="AK389" i="12" s="1"/>
  <c r="AK396" i="12"/>
  <c r="AK398" i="12"/>
  <c r="AL359" i="12"/>
  <c r="J359" i="12" s="1"/>
  <c r="AL369" i="12"/>
  <c r="H369" i="12" s="1"/>
  <c r="AL370" i="12"/>
  <c r="H370" i="12" s="1"/>
  <c r="AL371" i="12"/>
  <c r="H371" i="12" s="1"/>
  <c r="AL374" i="12"/>
  <c r="H374" i="12" s="1"/>
  <c r="H373" i="12" s="1"/>
  <c r="AL385" i="12"/>
  <c r="J385" i="12" s="1"/>
  <c r="J384" i="12" s="1"/>
  <c r="AL387" i="12"/>
  <c r="J387" i="12" s="1"/>
  <c r="AL388" i="12"/>
  <c r="J388" i="12" s="1"/>
  <c r="AL391" i="12"/>
  <c r="J391" i="12" s="1"/>
  <c r="J390" i="12" s="1"/>
  <c r="J389" i="12" s="1"/>
  <c r="AL397" i="12"/>
  <c r="F397" i="12" s="1"/>
  <c r="F396" i="12" s="1"/>
  <c r="AL399" i="12"/>
  <c r="F399" i="12" s="1"/>
  <c r="AL400" i="12"/>
  <c r="F400" i="12" s="1"/>
  <c r="AM360" i="12"/>
  <c r="AM373" i="12"/>
  <c r="AM384" i="12"/>
  <c r="AM390" i="12"/>
  <c r="AM389" i="12" s="1"/>
  <c r="AM396" i="12"/>
  <c r="AM398" i="12"/>
  <c r="AN360" i="12"/>
  <c r="AN373" i="12"/>
  <c r="AN384" i="12"/>
  <c r="AN390" i="12"/>
  <c r="AN389" i="12" s="1"/>
  <c r="AN396" i="12"/>
  <c r="AN398" i="12"/>
  <c r="W360" i="12"/>
  <c r="W373" i="12"/>
  <c r="W367" i="12" s="1"/>
  <c r="W384" i="12"/>
  <c r="W390" i="12"/>
  <c r="W389" i="12" s="1"/>
  <c r="W396" i="12"/>
  <c r="W398" i="12"/>
  <c r="AP396" i="12"/>
  <c r="AP398" i="12"/>
  <c r="AP30" i="12"/>
  <c r="AP39" i="12"/>
  <c r="AP33" i="12"/>
  <c r="AP48" i="12"/>
  <c r="AP17" i="12" s="1"/>
  <c r="M247" i="12"/>
  <c r="L247" i="12"/>
  <c r="M384" i="12"/>
  <c r="M383" i="12" s="1"/>
  <c r="L384" i="12"/>
  <c r="L383" i="12" s="1"/>
  <c r="K384" i="12"/>
  <c r="K383" i="12" s="1"/>
  <c r="M312" i="12"/>
  <c r="L312" i="12"/>
  <c r="K312" i="12"/>
  <c r="M256" i="12"/>
  <c r="M255" i="12" s="1"/>
  <c r="M254" i="12" s="1"/>
  <c r="L256" i="12"/>
  <c r="L255" i="12" s="1"/>
  <c r="L254" i="12" s="1"/>
  <c r="K256" i="12"/>
  <c r="M244" i="12"/>
  <c r="M243" i="12" s="1"/>
  <c r="L244" i="12"/>
  <c r="L243" i="12" s="1"/>
  <c r="K244" i="12"/>
  <c r="K243" i="12" s="1"/>
  <c r="K25" i="21"/>
  <c r="K26" i="21"/>
  <c r="X76" i="12"/>
  <c r="X71" i="12" s="1"/>
  <c r="Y76" i="12"/>
  <c r="Z76" i="12"/>
  <c r="AA76" i="12"/>
  <c r="AB76" i="12"/>
  <c r="AC76" i="12"/>
  <c r="AD76" i="12"/>
  <c r="AE76" i="12"/>
  <c r="AF76" i="12"/>
  <c r="AH76" i="12"/>
  <c r="AI76" i="12"/>
  <c r="AK76" i="12"/>
  <c r="AM76" i="12"/>
  <c r="W76" i="12"/>
  <c r="X308" i="12"/>
  <c r="X307" i="12" s="1"/>
  <c r="X306" i="12" s="1"/>
  <c r="X34" i="12" s="1"/>
  <c r="Y308" i="12"/>
  <c r="Y307" i="12" s="1"/>
  <c r="Y306" i="12" s="1"/>
  <c r="Y34" i="12" s="1"/>
  <c r="Z308" i="12"/>
  <c r="Z307" i="12" s="1"/>
  <c r="Z306" i="12" s="1"/>
  <c r="AA308" i="12"/>
  <c r="AA307" i="12" s="1"/>
  <c r="AA306" i="12" s="1"/>
  <c r="AA34" i="12" s="1"/>
  <c r="AB308" i="12"/>
  <c r="AB307" i="12" s="1"/>
  <c r="AB306" i="12" s="1"/>
  <c r="AB34" i="12" s="1"/>
  <c r="AC308" i="12"/>
  <c r="AC307" i="12" s="1"/>
  <c r="AC306" i="12" s="1"/>
  <c r="AD308" i="12"/>
  <c r="AD307" i="12" s="1"/>
  <c r="AD306" i="12" s="1"/>
  <c r="AE308" i="12"/>
  <c r="AE307" i="12" s="1"/>
  <c r="AE306" i="12" s="1"/>
  <c r="AF308" i="12"/>
  <c r="AF307" i="12" s="1"/>
  <c r="AF306" i="12" s="1"/>
  <c r="AH308" i="12"/>
  <c r="AH307" i="12" s="1"/>
  <c r="AH306" i="12" s="1"/>
  <c r="AI308" i="12"/>
  <c r="AI307" i="12" s="1"/>
  <c r="AI306" i="12" s="1"/>
  <c r="AI305" i="12" s="1"/>
  <c r="AJ308" i="12"/>
  <c r="AJ307" i="12" s="1"/>
  <c r="AJ306" i="12" s="1"/>
  <c r="AK308" i="12"/>
  <c r="AK307" i="12" s="1"/>
  <c r="AK306" i="12" s="1"/>
  <c r="AK305" i="12" s="1"/>
  <c r="W308" i="12"/>
  <c r="W307" i="12" s="1"/>
  <c r="W306" i="12" s="1"/>
  <c r="AL498" i="12"/>
  <c r="F498" i="12" s="1"/>
  <c r="F497" i="12" s="1"/>
  <c r="AL496" i="12"/>
  <c r="F496" i="12" s="1"/>
  <c r="AL495" i="12"/>
  <c r="F495" i="12" s="1"/>
  <c r="AL493" i="12"/>
  <c r="AL484" i="12"/>
  <c r="F484" i="12" s="1"/>
  <c r="F483" i="12" s="1"/>
  <c r="AL482" i="12"/>
  <c r="F482" i="12" s="1"/>
  <c r="F481" i="12" s="1"/>
  <c r="AL480" i="12"/>
  <c r="F480" i="12" s="1"/>
  <c r="F479" i="12" s="1"/>
  <c r="AL467" i="12"/>
  <c r="AL460" i="12"/>
  <c r="J460" i="12" s="1"/>
  <c r="J459" i="12" s="1"/>
  <c r="J458" i="12" s="1"/>
  <c r="AL457" i="12"/>
  <c r="J457" i="12" s="1"/>
  <c r="J456" i="12" s="1"/>
  <c r="AL455" i="12"/>
  <c r="J455" i="12" s="1"/>
  <c r="AL454" i="12"/>
  <c r="J454" i="12" s="1"/>
  <c r="AL446" i="12"/>
  <c r="H446" i="12" s="1"/>
  <c r="H445" i="12" s="1"/>
  <c r="AL444" i="12"/>
  <c r="H444" i="12" s="1"/>
  <c r="H443" i="12" s="1"/>
  <c r="AL439" i="12"/>
  <c r="AL437" i="12"/>
  <c r="H437" i="12" s="1"/>
  <c r="H436" i="12" s="1"/>
  <c r="AL434" i="12"/>
  <c r="H434" i="12" s="1"/>
  <c r="H433" i="12" s="1"/>
  <c r="AL432" i="12"/>
  <c r="H432" i="12" s="1"/>
  <c r="H431" i="12" s="1"/>
  <c r="AL430" i="12"/>
  <c r="AL419" i="12"/>
  <c r="H419" i="12" s="1"/>
  <c r="AL341" i="12"/>
  <c r="J341" i="12" s="1"/>
  <c r="AL340" i="12"/>
  <c r="F340" i="12" s="1"/>
  <c r="AL339" i="12"/>
  <c r="F339" i="12" s="1"/>
  <c r="AL337" i="12"/>
  <c r="F337" i="12" s="1"/>
  <c r="F336" i="12" s="1"/>
  <c r="AL314" i="12"/>
  <c r="AL299" i="12"/>
  <c r="AR295" i="12"/>
  <c r="AR294" i="12"/>
  <c r="AL302" i="12"/>
  <c r="F302" i="12" s="1"/>
  <c r="AL301" i="12"/>
  <c r="F301" i="12" s="1"/>
  <c r="AL285" i="12"/>
  <c r="AL289" i="12"/>
  <c r="AL250" i="12"/>
  <c r="F250" i="12" s="1"/>
  <c r="AL249" i="12"/>
  <c r="F249" i="12" s="1"/>
  <c r="AL246" i="12"/>
  <c r="J246" i="12" s="1"/>
  <c r="AL245" i="12"/>
  <c r="AL237" i="12"/>
  <c r="AL232" i="12"/>
  <c r="AL229" i="12"/>
  <c r="J229" i="12" s="1"/>
  <c r="J228" i="12" s="1"/>
  <c r="J227" i="12" s="1"/>
  <c r="AL223" i="12"/>
  <c r="H223" i="12" s="1"/>
  <c r="AL220" i="12"/>
  <c r="H220" i="12" s="1"/>
  <c r="AL219" i="12"/>
  <c r="H219" i="12" s="1"/>
  <c r="AR200" i="12"/>
  <c r="AR189" i="12"/>
  <c r="AR178" i="12"/>
  <c r="AR177" i="12"/>
  <c r="AR175" i="12"/>
  <c r="AR174" i="12"/>
  <c r="AR173" i="12"/>
  <c r="AR172" i="12"/>
  <c r="AR171" i="12"/>
  <c r="AR168" i="12"/>
  <c r="AR167" i="12"/>
  <c r="AR166" i="12"/>
  <c r="AR165" i="12"/>
  <c r="AR164" i="12"/>
  <c r="AR162" i="12"/>
  <c r="AR160" i="12"/>
  <c r="AR159" i="12"/>
  <c r="AR158" i="12"/>
  <c r="AR156" i="12"/>
  <c r="AR155" i="12"/>
  <c r="AR154" i="12"/>
  <c r="AR153" i="12"/>
  <c r="AR151" i="12"/>
  <c r="AR150" i="12"/>
  <c r="AR149" i="12"/>
  <c r="AR148" i="12"/>
  <c r="AR147" i="12"/>
  <c r="AR146" i="12"/>
  <c r="AL136" i="12"/>
  <c r="J136" i="12" s="1"/>
  <c r="J135" i="12" s="1"/>
  <c r="AL134" i="12"/>
  <c r="J134" i="12" s="1"/>
  <c r="J133" i="12" s="1"/>
  <c r="AR128" i="12"/>
  <c r="AR121" i="12"/>
  <c r="AR118" i="12"/>
  <c r="AR117" i="12"/>
  <c r="AR116" i="12"/>
  <c r="AR115" i="12"/>
  <c r="AR114" i="12"/>
  <c r="AR113" i="12"/>
  <c r="AR112" i="12"/>
  <c r="AR111" i="12"/>
  <c r="AR110" i="12"/>
  <c r="AR107" i="12"/>
  <c r="AR105" i="12"/>
  <c r="AR104" i="12"/>
  <c r="AR103" i="12"/>
  <c r="AR144" i="12"/>
  <c r="AL79" i="12"/>
  <c r="F79" i="12" s="1"/>
  <c r="AL78" i="12"/>
  <c r="AL63" i="12"/>
  <c r="AL69" i="12"/>
  <c r="J69" i="12" s="1"/>
  <c r="AL55" i="12"/>
  <c r="AS55" i="12" s="1"/>
  <c r="AL54" i="12"/>
  <c r="AR54" i="12" s="1"/>
  <c r="AL53" i="12"/>
  <c r="AS53" i="12" s="1"/>
  <c r="X247" i="12"/>
  <c r="Y247" i="12"/>
  <c r="Z247" i="12"/>
  <c r="AB247" i="12"/>
  <c r="AC247" i="12"/>
  <c r="AE247" i="12"/>
  <c r="AI247" i="12"/>
  <c r="AK247" i="12"/>
  <c r="AM247" i="12"/>
  <c r="W247" i="12"/>
  <c r="AO483" i="12"/>
  <c r="AN483" i="12"/>
  <c r="AM483" i="12"/>
  <c r="AK483" i="12"/>
  <c r="AJ483" i="12"/>
  <c r="AI483" i="12"/>
  <c r="AH483" i="12"/>
  <c r="AF483" i="12"/>
  <c r="AE483" i="12"/>
  <c r="AD483" i="12"/>
  <c r="AC483" i="12"/>
  <c r="AB483" i="12"/>
  <c r="AA483" i="12"/>
  <c r="Z483" i="12"/>
  <c r="Y483" i="12"/>
  <c r="X483" i="12"/>
  <c r="W483" i="12"/>
  <c r="AB336" i="12"/>
  <c r="AC336" i="12"/>
  <c r="AD336" i="12"/>
  <c r="AE336" i="12"/>
  <c r="AF336" i="12"/>
  <c r="AH336" i="12"/>
  <c r="AI336" i="12"/>
  <c r="AB338" i="12"/>
  <c r="AC338" i="12"/>
  <c r="AD338" i="12"/>
  <c r="AE338" i="12"/>
  <c r="AF338" i="12"/>
  <c r="AH338" i="12"/>
  <c r="AI338" i="12"/>
  <c r="AJ340" i="12"/>
  <c r="AJ339" i="12"/>
  <c r="AJ337" i="12"/>
  <c r="AJ314" i="12"/>
  <c r="AB290" i="12"/>
  <c r="AB268" i="12" s="1"/>
  <c r="AB267" i="12" s="1"/>
  <c r="AC290" i="12"/>
  <c r="AC268" i="12" s="1"/>
  <c r="AC267" i="12" s="1"/>
  <c r="AD290" i="12"/>
  <c r="AD268" i="12" s="1"/>
  <c r="AD267" i="12" s="1"/>
  <c r="AE290" i="12"/>
  <c r="AE268" i="12" s="1"/>
  <c r="AE267" i="12" s="1"/>
  <c r="AF290" i="12"/>
  <c r="AF268" i="12" s="1"/>
  <c r="AF267" i="12" s="1"/>
  <c r="AH290" i="12"/>
  <c r="AH268" i="12" s="1"/>
  <c r="AH267" i="12" s="1"/>
  <c r="AI290" i="12"/>
  <c r="AI268" i="12" s="1"/>
  <c r="AI267" i="12" s="1"/>
  <c r="AJ299" i="12"/>
  <c r="AJ295" i="12"/>
  <c r="AJ294" i="12"/>
  <c r="AJ302" i="12"/>
  <c r="AJ301" i="12"/>
  <c r="AJ285" i="12"/>
  <c r="AJ289" i="12"/>
  <c r="AJ265" i="12"/>
  <c r="AJ264" i="12" s="1"/>
  <c r="AJ263" i="12" s="1"/>
  <c r="AJ262" i="12" s="1"/>
  <c r="AJ31" i="12" s="1"/>
  <c r="AJ256" i="12"/>
  <c r="AJ255" i="12" s="1"/>
  <c r="AJ251" i="12"/>
  <c r="AJ249" i="12"/>
  <c r="AJ246" i="12"/>
  <c r="AJ245" i="12"/>
  <c r="AB231" i="12"/>
  <c r="AB230" i="12" s="1"/>
  <c r="AC231" i="12"/>
  <c r="AC230" i="12" s="1"/>
  <c r="AD231" i="12"/>
  <c r="AD230" i="12" s="1"/>
  <c r="AE231" i="12"/>
  <c r="AE230" i="12" s="1"/>
  <c r="AF231" i="12"/>
  <c r="AF230" i="12" s="1"/>
  <c r="AH231" i="12"/>
  <c r="AH230" i="12" s="1"/>
  <c r="AI231" i="12"/>
  <c r="AI230" i="12" s="1"/>
  <c r="AJ232" i="12"/>
  <c r="AJ231" i="12" s="1"/>
  <c r="AJ230" i="12" s="1"/>
  <c r="AJ229" i="12"/>
  <c r="AJ219" i="12"/>
  <c r="AS81" i="12"/>
  <c r="AS216" i="12"/>
  <c r="AS233" i="12"/>
  <c r="AS241" i="12"/>
  <c r="AS253" i="12"/>
  <c r="AS266" i="12"/>
  <c r="AS304" i="12"/>
  <c r="AS342" i="12"/>
  <c r="AS405" i="12"/>
  <c r="AS410" i="12"/>
  <c r="AS424" i="12"/>
  <c r="AS447" i="12"/>
  <c r="AS487" i="12"/>
  <c r="AJ87" i="12"/>
  <c r="AJ79" i="12"/>
  <c r="AJ78" i="12"/>
  <c r="AJ63" i="12"/>
  <c r="AJ341" i="12"/>
  <c r="AJ68" i="12"/>
  <c r="AJ54" i="12"/>
  <c r="AJ55" i="12"/>
  <c r="AJ53" i="12"/>
  <c r="X497" i="12"/>
  <c r="Y497" i="12"/>
  <c r="Z497" i="12"/>
  <c r="AA497" i="12"/>
  <c r="AB497" i="12"/>
  <c r="AC497" i="12"/>
  <c r="AD497" i="12"/>
  <c r="AE497" i="12"/>
  <c r="AF497" i="12"/>
  <c r="AH497" i="12"/>
  <c r="AI497" i="12"/>
  <c r="AK497" i="12"/>
  <c r="AM497" i="12"/>
  <c r="AN497" i="12"/>
  <c r="AO497" i="12"/>
  <c r="AP497" i="12"/>
  <c r="X494" i="12"/>
  <c r="Y494" i="12"/>
  <c r="Z494" i="12"/>
  <c r="AA494" i="12"/>
  <c r="AB494" i="12"/>
  <c r="AC494" i="12"/>
  <c r="AD494" i="12"/>
  <c r="AE494" i="12"/>
  <c r="AF494" i="12"/>
  <c r="AH494" i="12"/>
  <c r="AI494" i="12"/>
  <c r="AK494" i="12"/>
  <c r="AM494" i="12"/>
  <c r="AN494" i="12"/>
  <c r="AO494" i="12"/>
  <c r="W494" i="12"/>
  <c r="X492" i="12"/>
  <c r="Y492" i="12"/>
  <c r="Z492" i="12"/>
  <c r="AA492" i="12"/>
  <c r="AB492" i="12"/>
  <c r="AC492" i="12"/>
  <c r="AD492" i="12"/>
  <c r="AE492" i="12"/>
  <c r="AF492" i="12"/>
  <c r="AH492" i="12"/>
  <c r="AI492" i="12"/>
  <c r="AK492" i="12"/>
  <c r="AM492" i="12"/>
  <c r="AN492" i="12"/>
  <c r="AO492" i="12"/>
  <c r="W492" i="12"/>
  <c r="AJ504" i="12"/>
  <c r="AJ498" i="12"/>
  <c r="AJ496" i="12"/>
  <c r="AJ495" i="12"/>
  <c r="AJ493" i="12"/>
  <c r="AB462" i="12"/>
  <c r="AC462" i="12"/>
  <c r="AD462" i="12"/>
  <c r="AE462" i="12"/>
  <c r="AF462" i="12"/>
  <c r="AH462" i="12"/>
  <c r="AI462" i="12"/>
  <c r="AB477" i="12"/>
  <c r="AC477" i="12"/>
  <c r="AD477" i="12"/>
  <c r="AE477" i="12"/>
  <c r="AF477" i="12"/>
  <c r="AH477" i="12"/>
  <c r="AI477" i="12"/>
  <c r="AB479" i="12"/>
  <c r="AC479" i="12"/>
  <c r="AD479" i="12"/>
  <c r="AE479" i="12"/>
  <c r="AF479" i="12"/>
  <c r="AH479" i="12"/>
  <c r="AI479" i="12"/>
  <c r="AB481" i="12"/>
  <c r="AC481" i="12"/>
  <c r="AD481" i="12"/>
  <c r="AE481" i="12"/>
  <c r="AF481" i="12"/>
  <c r="AH481" i="12"/>
  <c r="AI481" i="12"/>
  <c r="AJ482" i="12"/>
  <c r="AJ481" i="12" s="1"/>
  <c r="AJ480" i="12"/>
  <c r="AJ478" i="12"/>
  <c r="AJ467" i="12"/>
  <c r="AJ466" i="12" s="1"/>
  <c r="AJ460" i="12"/>
  <c r="AJ457" i="12"/>
  <c r="AJ455" i="12"/>
  <c r="AJ454" i="12"/>
  <c r="AJ446" i="12"/>
  <c r="AJ439" i="12"/>
  <c r="AJ437" i="12"/>
  <c r="AJ436" i="12" s="1"/>
  <c r="AJ434" i="12"/>
  <c r="AJ432" i="12"/>
  <c r="AJ431" i="12" s="1"/>
  <c r="AJ430" i="12"/>
  <c r="AJ418" i="12"/>
  <c r="AJ417" i="12"/>
  <c r="AJ416" i="12"/>
  <c r="X415" i="12"/>
  <c r="X412" i="12" s="1"/>
  <c r="Z412" i="12"/>
  <c r="Z411" i="12" s="1"/>
  <c r="AB412" i="12"/>
  <c r="AB411" i="12" s="1"/>
  <c r="AC412" i="12"/>
  <c r="AC411" i="12" s="1"/>
  <c r="AD412" i="12"/>
  <c r="AD411" i="12" s="1"/>
  <c r="AE412" i="12"/>
  <c r="AE411" i="12" s="1"/>
  <c r="AF412" i="12"/>
  <c r="AF411" i="12" s="1"/>
  <c r="AH412" i="12"/>
  <c r="AH411" i="12" s="1"/>
  <c r="AK412" i="12"/>
  <c r="AK411" i="12" s="1"/>
  <c r="W412" i="12"/>
  <c r="W411" i="12" s="1"/>
  <c r="X312" i="12"/>
  <c r="X319" i="12"/>
  <c r="X100" i="12"/>
  <c r="Y100" i="12"/>
  <c r="Z100" i="12"/>
  <c r="Z99" i="12" s="1"/>
  <c r="Z98" i="12" s="1"/>
  <c r="X141" i="12"/>
  <c r="W141" i="12"/>
  <c r="AR561" i="12"/>
  <c r="AS561" i="12"/>
  <c r="AS557" i="12"/>
  <c r="AR557" i="12"/>
  <c r="AS16" i="12"/>
  <c r="AS24" i="12"/>
  <c r="AS35" i="12"/>
  <c r="AS50" i="12"/>
  <c r="AS58" i="12"/>
  <c r="AS512" i="12"/>
  <c r="AS528" i="12"/>
  <c r="AS529" i="12"/>
  <c r="AS530" i="12"/>
  <c r="AS531" i="12"/>
  <c r="AS532" i="12"/>
  <c r="AS533" i="12"/>
  <c r="X42" i="12"/>
  <c r="Z42" i="12"/>
  <c r="AB42" i="12"/>
  <c r="AC42" i="12"/>
  <c r="AD42" i="12"/>
  <c r="AE42" i="12"/>
  <c r="AH42" i="12"/>
  <c r="AI42" i="12"/>
  <c r="AK42" i="12"/>
  <c r="G36" i="21"/>
  <c r="I36" i="21"/>
  <c r="W42" i="12"/>
  <c r="C38" i="21"/>
  <c r="I37" i="21"/>
  <c r="C37" i="21" s="1"/>
  <c r="I26" i="21"/>
  <c r="I25" i="21"/>
  <c r="X17" i="21"/>
  <c r="M17" i="21"/>
  <c r="M14" i="21" s="1"/>
  <c r="M13" i="21" s="1"/>
  <c r="I16" i="21"/>
  <c r="AA14" i="21"/>
  <c r="N14" i="21"/>
  <c r="N13" i="21" s="1"/>
  <c r="X13" i="21"/>
  <c r="Z12" i="21"/>
  <c r="Y12" i="21"/>
  <c r="Z11" i="21"/>
  <c r="Y11" i="21"/>
  <c r="Y14" i="21" s="1"/>
  <c r="R11" i="21"/>
  <c r="AS566" i="12"/>
  <c r="AS567" i="12"/>
  <c r="AS569" i="12"/>
  <c r="AS570" i="12"/>
  <c r="AS564" i="12"/>
  <c r="AS538" i="12"/>
  <c r="AS540" i="12"/>
  <c r="AS541" i="12"/>
  <c r="AS543" i="12"/>
  <c r="AS545" i="12"/>
  <c r="AS547" i="12"/>
  <c r="AS548" i="12"/>
  <c r="AS549" i="12"/>
  <c r="AS551" i="12"/>
  <c r="AS553" i="12"/>
  <c r="AS554" i="12"/>
  <c r="AS559" i="12"/>
  <c r="AS560" i="12"/>
  <c r="AS563" i="12"/>
  <c r="AS572" i="12"/>
  <c r="AS573" i="12"/>
  <c r="AS574" i="12"/>
  <c r="AS575" i="12"/>
  <c r="AS576" i="12"/>
  <c r="AS579" i="12"/>
  <c r="AS580" i="12"/>
  <c r="AS581" i="12"/>
  <c r="AS582" i="12"/>
  <c r="AS584" i="12"/>
  <c r="AS585" i="12"/>
  <c r="AS586" i="12"/>
  <c r="AS556" i="12"/>
  <c r="AS588" i="12"/>
  <c r="AS589" i="12"/>
  <c r="AS590" i="12"/>
  <c r="AS591" i="12"/>
  <c r="AS592" i="12"/>
  <c r="AS593" i="12"/>
  <c r="AS594" i="12"/>
  <c r="AS595" i="12"/>
  <c r="AS596" i="12"/>
  <c r="AS597" i="12"/>
  <c r="AS598" i="12"/>
  <c r="AS599" i="12"/>
  <c r="AS600" i="12"/>
  <c r="AS601" i="12"/>
  <c r="AS602" i="12"/>
  <c r="AS603" i="12"/>
  <c r="AS604" i="12"/>
  <c r="AS605" i="12"/>
  <c r="AS606" i="12"/>
  <c r="AS607" i="12"/>
  <c r="AS608" i="12"/>
  <c r="AS609" i="12"/>
  <c r="AS610" i="12"/>
  <c r="AS611" i="12"/>
  <c r="AS612" i="12"/>
  <c r="AS613" i="12"/>
  <c r="AS614" i="12"/>
  <c r="AS615" i="12"/>
  <c r="AS616" i="12"/>
  <c r="AS617" i="12"/>
  <c r="AS618" i="12"/>
  <c r="AS619" i="12"/>
  <c r="AS620" i="12"/>
  <c r="AS621" i="12"/>
  <c r="AS622" i="12"/>
  <c r="AS623" i="12"/>
  <c r="AS624" i="12"/>
  <c r="AS625" i="12"/>
  <c r="AR556" i="12"/>
  <c r="K354" i="12"/>
  <c r="L354" i="12"/>
  <c r="M354" i="12"/>
  <c r="AL478" i="12"/>
  <c r="F478" i="12" s="1"/>
  <c r="F477" i="12" s="1"/>
  <c r="AR586" i="12"/>
  <c r="AR585" i="12"/>
  <c r="AR584" i="12"/>
  <c r="AR582" i="12"/>
  <c r="AR581" i="12"/>
  <c r="AR580" i="12"/>
  <c r="AR579" i="12"/>
  <c r="AR576" i="12"/>
  <c r="AR575" i="12"/>
  <c r="M466" i="12"/>
  <c r="K466" i="12"/>
  <c r="L466" i="12"/>
  <c r="AR574" i="12"/>
  <c r="AR573" i="12"/>
  <c r="AR572" i="12"/>
  <c r="AR563" i="12"/>
  <c r="AR560" i="12"/>
  <c r="AR559" i="12"/>
  <c r="AR554" i="12"/>
  <c r="AR553" i="12"/>
  <c r="AR551" i="12"/>
  <c r="AR549" i="12"/>
  <c r="AR548" i="12"/>
  <c r="AR547" i="12"/>
  <c r="AR545" i="12"/>
  <c r="AR543" i="12"/>
  <c r="AR541" i="12"/>
  <c r="AR540" i="12"/>
  <c r="AR538" i="12"/>
  <c r="K49" i="12"/>
  <c r="K48" i="12" s="1"/>
  <c r="AI49" i="12"/>
  <c r="AS537" i="12"/>
  <c r="AS539" i="12"/>
  <c r="AR539" i="12"/>
  <c r="AR537" i="12"/>
  <c r="AR564" i="12"/>
  <c r="X443" i="12"/>
  <c r="Y443" i="12"/>
  <c r="Z443" i="12"/>
  <c r="AA443" i="12"/>
  <c r="AB443" i="12"/>
  <c r="AC443" i="12"/>
  <c r="AD443" i="12"/>
  <c r="AE443" i="12"/>
  <c r="AF443" i="12"/>
  <c r="AH443" i="12"/>
  <c r="AK443" i="12"/>
  <c r="AM443" i="12"/>
  <c r="AN443" i="12"/>
  <c r="AO443" i="12"/>
  <c r="W443" i="12"/>
  <c r="D443" i="12"/>
  <c r="X238" i="12"/>
  <c r="Y238" i="12"/>
  <c r="Z238" i="12"/>
  <c r="AB238" i="12"/>
  <c r="AC238" i="12"/>
  <c r="AD238" i="12"/>
  <c r="AE238" i="12"/>
  <c r="AF238" i="12"/>
  <c r="AH238" i="12"/>
  <c r="AI238" i="12"/>
  <c r="AK238" i="12"/>
  <c r="AM238" i="12"/>
  <c r="AN238" i="12"/>
  <c r="AO238" i="12"/>
  <c r="W238" i="12"/>
  <c r="X336" i="12"/>
  <c r="X338" i="12"/>
  <c r="Y336" i="12"/>
  <c r="Y338" i="12"/>
  <c r="Z336" i="12"/>
  <c r="Z338" i="12"/>
  <c r="AA336" i="12"/>
  <c r="AA338" i="12"/>
  <c r="AK336" i="12"/>
  <c r="AK338" i="12"/>
  <c r="AM336" i="12"/>
  <c r="AM338" i="12"/>
  <c r="AN336" i="12"/>
  <c r="AN338" i="12"/>
  <c r="AO336" i="12"/>
  <c r="AO338" i="12"/>
  <c r="W336" i="12"/>
  <c r="W338" i="12"/>
  <c r="AR570" i="12"/>
  <c r="AR569" i="12"/>
  <c r="AR567" i="12"/>
  <c r="AR566" i="12"/>
  <c r="AR142" i="12"/>
  <c r="AM61" i="12"/>
  <c r="AM14" i="12"/>
  <c r="AA61" i="12"/>
  <c r="AA84" i="12"/>
  <c r="AA228" i="12"/>
  <c r="AA227" i="12" s="1"/>
  <c r="AA231" i="12"/>
  <c r="AA230" i="12" s="1"/>
  <c r="AA236" i="12"/>
  <c r="AA235" i="12" s="1"/>
  <c r="AA244" i="12"/>
  <c r="AA257" i="12"/>
  <c r="AA256" i="12" s="1"/>
  <c r="AA255" i="12" s="1"/>
  <c r="AA264" i="12"/>
  <c r="AA263" i="12" s="1"/>
  <c r="AA262" i="12" s="1"/>
  <c r="AA31" i="12" s="1"/>
  <c r="AA429" i="12"/>
  <c r="AA431" i="12"/>
  <c r="AA433" i="12"/>
  <c r="AA445" i="12"/>
  <c r="AA479" i="12"/>
  <c r="AA481" i="12"/>
  <c r="AA462" i="12"/>
  <c r="AA416" i="12"/>
  <c r="AA417" i="12"/>
  <c r="AA418" i="12"/>
  <c r="AA419" i="12"/>
  <c r="AA436" i="12"/>
  <c r="AA453" i="12"/>
  <c r="AA456" i="12"/>
  <c r="AA459" i="12"/>
  <c r="AA458" i="12" s="1"/>
  <c r="AA477" i="12"/>
  <c r="AL84" i="12"/>
  <c r="AM256" i="12"/>
  <c r="AM255" i="12" s="1"/>
  <c r="AL417" i="12"/>
  <c r="H417" i="12" s="1"/>
  <c r="AL49" i="12"/>
  <c r="AL57" i="12"/>
  <c r="AK57" i="12" s="1"/>
  <c r="AF84" i="12"/>
  <c r="AF228" i="12"/>
  <c r="AF227" i="12" s="1"/>
  <c r="AF67" i="12"/>
  <c r="AF66" i="12" s="1"/>
  <c r="AF61" i="12"/>
  <c r="AF236" i="12"/>
  <c r="AF244" i="12"/>
  <c r="AF243" i="12" s="1"/>
  <c r="AF256" i="12"/>
  <c r="AF255" i="12" s="1"/>
  <c r="AF254" i="12" s="1"/>
  <c r="AF264" i="12"/>
  <c r="AF263" i="12" s="1"/>
  <c r="AF262" i="12" s="1"/>
  <c r="AF31" i="12" s="1"/>
  <c r="AF429" i="12"/>
  <c r="AF431" i="12"/>
  <c r="AF433" i="12"/>
  <c r="AF445" i="12"/>
  <c r="AF408" i="12"/>
  <c r="AF407" i="12" s="1"/>
  <c r="AF406" i="12" s="1"/>
  <c r="AF38" i="12" s="1"/>
  <c r="AF436" i="12"/>
  <c r="AF453" i="12"/>
  <c r="AF456" i="12"/>
  <c r="AF459" i="12"/>
  <c r="AF458" i="12" s="1"/>
  <c r="AF49" i="12"/>
  <c r="AF57" i="12"/>
  <c r="AI84" i="12"/>
  <c r="AI134" i="12"/>
  <c r="AI133" i="12" s="1"/>
  <c r="AJ136" i="12"/>
  <c r="AJ222" i="12"/>
  <c r="AI228" i="12"/>
  <c r="AI227" i="12" s="1"/>
  <c r="AI69" i="12"/>
  <c r="AI67" i="12" s="1"/>
  <c r="AJ64" i="12"/>
  <c r="AI237" i="12"/>
  <c r="AI244" i="12"/>
  <c r="AI243" i="12" s="1"/>
  <c r="AI256" i="12"/>
  <c r="AI264" i="12"/>
  <c r="AI263" i="12" s="1"/>
  <c r="AI262" i="12" s="1"/>
  <c r="AI31" i="12" s="1"/>
  <c r="AI429" i="12"/>
  <c r="AI431" i="12"/>
  <c r="AI433" i="12"/>
  <c r="AI444" i="12"/>
  <c r="AI443" i="12" s="1"/>
  <c r="AI445" i="12"/>
  <c r="AI419" i="12"/>
  <c r="AI436" i="12"/>
  <c r="AI453" i="12"/>
  <c r="AI456" i="12"/>
  <c r="AI459" i="12"/>
  <c r="AI458" i="12" s="1"/>
  <c r="AR16" i="12"/>
  <c r="AR24" i="12"/>
  <c r="AR35" i="12"/>
  <c r="AA49" i="12"/>
  <c r="AR50" i="12"/>
  <c r="AR58" i="12"/>
  <c r="AR81" i="12"/>
  <c r="AR87" i="12"/>
  <c r="AR216" i="12"/>
  <c r="AR233" i="12"/>
  <c r="AR266" i="12"/>
  <c r="AR293" i="12"/>
  <c r="AR304" i="12"/>
  <c r="AR342" i="12"/>
  <c r="AR405" i="12"/>
  <c r="AR410" i="12"/>
  <c r="AR424" i="12"/>
  <c r="AR512" i="12"/>
  <c r="AM48" i="12"/>
  <c r="AM17" i="12" s="1"/>
  <c r="AM67" i="12"/>
  <c r="AM66" i="12" s="1"/>
  <c r="AM84" i="12"/>
  <c r="AM228" i="12"/>
  <c r="AM227" i="12" s="1"/>
  <c r="AM231" i="12"/>
  <c r="AM230" i="12" s="1"/>
  <c r="AM236" i="12"/>
  <c r="AM235" i="12" s="1"/>
  <c r="AM244" i="12"/>
  <c r="AM243" i="12" s="1"/>
  <c r="AM264" i="12"/>
  <c r="AM263" i="12" s="1"/>
  <c r="AM262" i="12" s="1"/>
  <c r="AM31" i="12" s="1"/>
  <c r="E26" i="21" s="1"/>
  <c r="AM290" i="12"/>
  <c r="AM268" i="12" s="1"/>
  <c r="AM267" i="12" s="1"/>
  <c r="AM429" i="12"/>
  <c r="AM431" i="12"/>
  <c r="AM433" i="12"/>
  <c r="AM445" i="12"/>
  <c r="AM479" i="12"/>
  <c r="AM481" i="12"/>
  <c r="AM462" i="12"/>
  <c r="AM408" i="12"/>
  <c r="AM407" i="12" s="1"/>
  <c r="AM406" i="12" s="1"/>
  <c r="AM436" i="12"/>
  <c r="AM453" i="12"/>
  <c r="AM456" i="12"/>
  <c r="AM459" i="12"/>
  <c r="AM458" i="12" s="1"/>
  <c r="AM477" i="12"/>
  <c r="AN48" i="12"/>
  <c r="AN17" i="12" s="1"/>
  <c r="AN84" i="12"/>
  <c r="AN228" i="12"/>
  <c r="AN227" i="12" s="1"/>
  <c r="AN231" i="12"/>
  <c r="AN230" i="12" s="1"/>
  <c r="AN236" i="12"/>
  <c r="AN235" i="12" s="1"/>
  <c r="AN244" i="12"/>
  <c r="AN243" i="12" s="1"/>
  <c r="AN247" i="12"/>
  <c r="AN256" i="12"/>
  <c r="AN255" i="12" s="1"/>
  <c r="AN264" i="12"/>
  <c r="AN263" i="12" s="1"/>
  <c r="AN262" i="12" s="1"/>
  <c r="AN290" i="12"/>
  <c r="AN268" i="12" s="1"/>
  <c r="AN267" i="12" s="1"/>
  <c r="AN429" i="12"/>
  <c r="AN431" i="12"/>
  <c r="AN433" i="12"/>
  <c r="AN445" i="12"/>
  <c r="AN462" i="12"/>
  <c r="AN408" i="12"/>
  <c r="AN407" i="12" s="1"/>
  <c r="AN406" i="12" s="1"/>
  <c r="AN436" i="12"/>
  <c r="AN456" i="12"/>
  <c r="AN449" i="12" s="1"/>
  <c r="AN459" i="12"/>
  <c r="AN458" i="12" s="1"/>
  <c r="AO48" i="12"/>
  <c r="AO84" i="12"/>
  <c r="AO163" i="12"/>
  <c r="AO228" i="12"/>
  <c r="AO227" i="12" s="1"/>
  <c r="AO231" i="12"/>
  <c r="AO230" i="12" s="1"/>
  <c r="AO236" i="12"/>
  <c r="AO235" i="12" s="1"/>
  <c r="AO256" i="12"/>
  <c r="AO255" i="12" s="1"/>
  <c r="AO264" i="12"/>
  <c r="AO263" i="12" s="1"/>
  <c r="AO262" i="12" s="1"/>
  <c r="AO290" i="12"/>
  <c r="AO268" i="12" s="1"/>
  <c r="AO267" i="12" s="1"/>
  <c r="AO429" i="12"/>
  <c r="AO431" i="12"/>
  <c r="AO433" i="12"/>
  <c r="AO445" i="12"/>
  <c r="AO462" i="12"/>
  <c r="AO408" i="12"/>
  <c r="AO407" i="12" s="1"/>
  <c r="AO406" i="12" s="1"/>
  <c r="AO38" i="12" s="1"/>
  <c r="I32" i="21" s="1"/>
  <c r="C32" i="21" s="1"/>
  <c r="AO436" i="12"/>
  <c r="AO456" i="12"/>
  <c r="AO449" i="12" s="1"/>
  <c r="AO459" i="12"/>
  <c r="AO458" i="12" s="1"/>
  <c r="Y256" i="12"/>
  <c r="Y255" i="12" s="1"/>
  <c r="Y254" i="12" s="1"/>
  <c r="X49" i="12"/>
  <c r="Y49" i="12"/>
  <c r="W49" i="12"/>
  <c r="D49" i="12"/>
  <c r="D48" i="12" s="1"/>
  <c r="W17" i="12"/>
  <c r="X17" i="12"/>
  <c r="Y17" i="12"/>
  <c r="Z17" i="12"/>
  <c r="AB17" i="12"/>
  <c r="AC17" i="12"/>
  <c r="AD17" i="12"/>
  <c r="AE17" i="12"/>
  <c r="W497" i="12"/>
  <c r="K497" i="12"/>
  <c r="L497" i="12"/>
  <c r="M497" i="12"/>
  <c r="M494" i="12"/>
  <c r="L494" i="12"/>
  <c r="K494" i="12"/>
  <c r="AK436" i="12"/>
  <c r="AH436" i="12"/>
  <c r="AE436" i="12"/>
  <c r="AD436" i="12"/>
  <c r="AC436" i="12"/>
  <c r="AB436" i="12"/>
  <c r="Z436" i="12"/>
  <c r="Y436" i="12"/>
  <c r="X436" i="12"/>
  <c r="W436" i="12"/>
  <c r="D436" i="12"/>
  <c r="X438" i="12"/>
  <c r="K438" i="12"/>
  <c r="L438" i="12"/>
  <c r="M438" i="12"/>
  <c r="X453" i="12"/>
  <c r="Y453" i="12"/>
  <c r="Z453" i="12"/>
  <c r="AB453" i="12"/>
  <c r="AC453" i="12"/>
  <c r="AD453" i="12"/>
  <c r="AE453" i="12"/>
  <c r="AH453" i="12"/>
  <c r="AK453" i="12"/>
  <c r="W453" i="12"/>
  <c r="K453" i="12"/>
  <c r="L453" i="12"/>
  <c r="M453" i="12"/>
  <c r="X456" i="12"/>
  <c r="Y456" i="12"/>
  <c r="Z456" i="12"/>
  <c r="AB456" i="12"/>
  <c r="AC456" i="12"/>
  <c r="AD456" i="12"/>
  <c r="AE456" i="12"/>
  <c r="AH456" i="12"/>
  <c r="AK456" i="12"/>
  <c r="W456" i="12"/>
  <c r="D456" i="12"/>
  <c r="D449" i="12" s="1"/>
  <c r="X459" i="12"/>
  <c r="X458" i="12" s="1"/>
  <c r="Y459" i="12"/>
  <c r="Y458" i="12" s="1"/>
  <c r="Z459" i="12"/>
  <c r="Z458" i="12" s="1"/>
  <c r="AB459" i="12"/>
  <c r="AB458" i="12" s="1"/>
  <c r="AC459" i="12"/>
  <c r="AC458" i="12" s="1"/>
  <c r="AD459" i="12"/>
  <c r="AD458" i="12" s="1"/>
  <c r="AE459" i="12"/>
  <c r="AE458" i="12" s="1"/>
  <c r="AH459" i="12"/>
  <c r="AH458" i="12" s="1"/>
  <c r="AK459" i="12"/>
  <c r="AK458" i="12" s="1"/>
  <c r="W459" i="12"/>
  <c r="W458" i="12" s="1"/>
  <c r="K459" i="12"/>
  <c r="K458" i="12" s="1"/>
  <c r="L459" i="12"/>
  <c r="L458" i="12" s="1"/>
  <c r="M459" i="12"/>
  <c r="M458" i="12" s="1"/>
  <c r="D459" i="12"/>
  <c r="D458" i="12" s="1"/>
  <c r="K389" i="12"/>
  <c r="L389" i="12"/>
  <c r="M389" i="12"/>
  <c r="X477" i="12"/>
  <c r="Y477" i="12"/>
  <c r="Z477" i="12"/>
  <c r="AK477" i="12"/>
  <c r="W477" i="12"/>
  <c r="X408" i="12"/>
  <c r="X407" i="12" s="1"/>
  <c r="X406" i="12" s="1"/>
  <c r="X38" i="12" s="1"/>
  <c r="Y408" i="12"/>
  <c r="Y407" i="12" s="1"/>
  <c r="Y406" i="12" s="1"/>
  <c r="Y38" i="12" s="1"/>
  <c r="Z408" i="12"/>
  <c r="Z407" i="12" s="1"/>
  <c r="Z406" i="12" s="1"/>
  <c r="Z38" i="12" s="1"/>
  <c r="AB408" i="12"/>
  <c r="AB407" i="12" s="1"/>
  <c r="AB406" i="12" s="1"/>
  <c r="AB38" i="12" s="1"/>
  <c r="AC408" i="12"/>
  <c r="AC407" i="12" s="1"/>
  <c r="AC406" i="12" s="1"/>
  <c r="AC38" i="12" s="1"/>
  <c r="AD408" i="12"/>
  <c r="AD407" i="12" s="1"/>
  <c r="AD406" i="12" s="1"/>
  <c r="AD38" i="12" s="1"/>
  <c r="AE408" i="12"/>
  <c r="AE407" i="12" s="1"/>
  <c r="AE406" i="12" s="1"/>
  <c r="AE38" i="12" s="1"/>
  <c r="AH408" i="12"/>
  <c r="AH407" i="12" s="1"/>
  <c r="AH406" i="12" s="1"/>
  <c r="AH38" i="12" s="1"/>
  <c r="AK408" i="12"/>
  <c r="AK407" i="12" s="1"/>
  <c r="AK406" i="12" s="1"/>
  <c r="AK38" i="12" s="1"/>
  <c r="W408" i="12"/>
  <c r="W407" i="12" s="1"/>
  <c r="W406" i="12" s="1"/>
  <c r="W38" i="12" s="1"/>
  <c r="M38" i="12"/>
  <c r="K38" i="12"/>
  <c r="L38" i="12"/>
  <c r="D360" i="12"/>
  <c r="D353" i="12" s="1"/>
  <c r="M429" i="12"/>
  <c r="L429" i="12"/>
  <c r="K429" i="12"/>
  <c r="AK429" i="12"/>
  <c r="AH429" i="12"/>
  <c r="AE429" i="12"/>
  <c r="AD429" i="12"/>
  <c r="AC429" i="12"/>
  <c r="AB429" i="12"/>
  <c r="Z429" i="12"/>
  <c r="Y429" i="12"/>
  <c r="X429" i="12"/>
  <c r="W429" i="12"/>
  <c r="AK431" i="12"/>
  <c r="AH431" i="12"/>
  <c r="AE431" i="12"/>
  <c r="AD431" i="12"/>
  <c r="AC431" i="12"/>
  <c r="AB431" i="12"/>
  <c r="Z431" i="12"/>
  <c r="Y431" i="12"/>
  <c r="X431" i="12"/>
  <c r="W431" i="12"/>
  <c r="X433" i="12"/>
  <c r="Y433" i="12"/>
  <c r="Z433" i="12"/>
  <c r="AB433" i="12"/>
  <c r="AC433" i="12"/>
  <c r="AD433" i="12"/>
  <c r="AE433" i="12"/>
  <c r="AH433" i="12"/>
  <c r="AK433" i="12"/>
  <c r="W433" i="12"/>
  <c r="D433" i="12"/>
  <c r="D428" i="12" s="1"/>
  <c r="D373" i="12"/>
  <c r="D367" i="12" s="1"/>
  <c r="D366" i="12" s="1"/>
  <c r="X445" i="12"/>
  <c r="Y445" i="12"/>
  <c r="Z445" i="12"/>
  <c r="AB445" i="12"/>
  <c r="AC445" i="12"/>
  <c r="AD445" i="12"/>
  <c r="AE445" i="12"/>
  <c r="AH445" i="12"/>
  <c r="AK445" i="12"/>
  <c r="W445" i="12"/>
  <c r="K445" i="12"/>
  <c r="L445" i="12"/>
  <c r="M445" i="12"/>
  <c r="D445" i="12"/>
  <c r="AK479" i="12"/>
  <c r="Z479" i="12"/>
  <c r="Y479" i="12"/>
  <c r="X479" i="12"/>
  <c r="W479" i="12"/>
  <c r="M479" i="12"/>
  <c r="L479" i="12"/>
  <c r="K479" i="12"/>
  <c r="K481" i="12"/>
  <c r="AK481" i="12"/>
  <c r="Z481" i="12"/>
  <c r="Y481" i="12"/>
  <c r="X481" i="12"/>
  <c r="W481" i="12"/>
  <c r="M481" i="12"/>
  <c r="L481" i="12"/>
  <c r="D481" i="12"/>
  <c r="D476" i="12" s="1"/>
  <c r="D461" i="12" s="1"/>
  <c r="Y462" i="12"/>
  <c r="Z462" i="12"/>
  <c r="AK462" i="12"/>
  <c r="W462" i="12"/>
  <c r="K396" i="12"/>
  <c r="L396" i="12"/>
  <c r="M396" i="12"/>
  <c r="K320" i="12"/>
  <c r="K319" i="12" s="1"/>
  <c r="L320" i="12"/>
  <c r="L319" i="12" s="1"/>
  <c r="M320" i="12"/>
  <c r="M319" i="12" s="1"/>
  <c r="AP336" i="12"/>
  <c r="K336" i="12"/>
  <c r="L336" i="12"/>
  <c r="M336" i="12"/>
  <c r="AP338" i="12"/>
  <c r="K338" i="12"/>
  <c r="L338" i="12"/>
  <c r="M338" i="12"/>
  <c r="X290" i="12"/>
  <c r="Y290" i="12"/>
  <c r="Y268" i="12" s="1"/>
  <c r="Y267" i="12" s="1"/>
  <c r="Z290" i="12"/>
  <c r="Z268" i="12" s="1"/>
  <c r="Z267" i="12" s="1"/>
  <c r="AK290" i="12"/>
  <c r="W290" i="12"/>
  <c r="W268" i="12" s="1"/>
  <c r="W267" i="12" s="1"/>
  <c r="X264" i="12"/>
  <c r="X263" i="12" s="1"/>
  <c r="X262" i="12" s="1"/>
  <c r="Y264" i="12"/>
  <c r="Y263" i="12" s="1"/>
  <c r="Y262" i="12" s="1"/>
  <c r="Y31" i="12" s="1"/>
  <c r="Z264" i="12"/>
  <c r="Z263" i="12" s="1"/>
  <c r="Z262" i="12" s="1"/>
  <c r="Z31" i="12" s="1"/>
  <c r="AB264" i="12"/>
  <c r="AB263" i="12" s="1"/>
  <c r="AB262" i="12" s="1"/>
  <c r="AB31" i="12" s="1"/>
  <c r="AC264" i="12"/>
  <c r="AC263" i="12" s="1"/>
  <c r="AC262" i="12" s="1"/>
  <c r="AC31" i="12" s="1"/>
  <c r="AD264" i="12"/>
  <c r="AD263" i="12" s="1"/>
  <c r="AD262" i="12" s="1"/>
  <c r="AD31" i="12" s="1"/>
  <c r="AE264" i="12"/>
  <c r="AE263" i="12" s="1"/>
  <c r="AE262" i="12" s="1"/>
  <c r="AE31" i="12" s="1"/>
  <c r="AH264" i="12"/>
  <c r="AH263" i="12" s="1"/>
  <c r="AH262" i="12" s="1"/>
  <c r="AH31" i="12" s="1"/>
  <c r="AK264" i="12"/>
  <c r="AK263" i="12" s="1"/>
  <c r="AK262" i="12" s="1"/>
  <c r="AK31" i="12" s="1"/>
  <c r="W264" i="12"/>
  <c r="W263" i="12" s="1"/>
  <c r="W262" i="12" s="1"/>
  <c r="W31" i="12" s="1"/>
  <c r="K264" i="12"/>
  <c r="K263" i="12" s="1"/>
  <c r="K262" i="12" s="1"/>
  <c r="K31" i="12" s="1"/>
  <c r="L264" i="12"/>
  <c r="L263" i="12" s="1"/>
  <c r="L262" i="12" s="1"/>
  <c r="L31" i="12" s="1"/>
  <c r="M264" i="12"/>
  <c r="M263" i="12" s="1"/>
  <c r="M262" i="12" s="1"/>
  <c r="M31" i="12" s="1"/>
  <c r="X256" i="12"/>
  <c r="X255" i="12" s="1"/>
  <c r="Z256" i="12"/>
  <c r="Z255" i="12" s="1"/>
  <c r="Z254" i="12" s="1"/>
  <c r="AB256" i="12"/>
  <c r="AC256" i="12"/>
  <c r="AC255" i="12" s="1"/>
  <c r="AC254" i="12" s="1"/>
  <c r="AD256" i="12"/>
  <c r="AD255" i="12" s="1"/>
  <c r="AD254" i="12" s="1"/>
  <c r="AE256" i="12"/>
  <c r="AE255" i="12" s="1"/>
  <c r="AE254" i="12" s="1"/>
  <c r="AH256" i="12"/>
  <c r="W256" i="12"/>
  <c r="W255" i="12" s="1"/>
  <c r="W254" i="12" s="1"/>
  <c r="X258" i="12"/>
  <c r="X244" i="12"/>
  <c r="X243" i="12" s="1"/>
  <c r="Y244" i="12"/>
  <c r="Y243" i="12" s="1"/>
  <c r="Z244" i="12"/>
  <c r="Z243" i="12" s="1"/>
  <c r="AB244" i="12"/>
  <c r="AB243" i="12" s="1"/>
  <c r="AC244" i="12"/>
  <c r="AC243" i="12" s="1"/>
  <c r="AD244" i="12"/>
  <c r="AD243" i="12" s="1"/>
  <c r="AE244" i="12"/>
  <c r="AE243" i="12" s="1"/>
  <c r="AH244" i="12"/>
  <c r="AH243" i="12" s="1"/>
  <c r="AK244" i="12"/>
  <c r="AK243" i="12" s="1"/>
  <c r="W244" i="12"/>
  <c r="W243" i="12" s="1"/>
  <c r="AD247" i="12"/>
  <c r="AH247" i="12"/>
  <c r="X236" i="12"/>
  <c r="X235" i="12" s="1"/>
  <c r="Y236" i="12"/>
  <c r="Y235" i="12" s="1"/>
  <c r="Z236" i="12"/>
  <c r="Z235" i="12" s="1"/>
  <c r="AB236" i="12"/>
  <c r="AB235" i="12" s="1"/>
  <c r="AC236" i="12"/>
  <c r="AC235" i="12" s="1"/>
  <c r="AD236" i="12"/>
  <c r="AD235" i="12" s="1"/>
  <c r="AE236" i="12"/>
  <c r="AE235" i="12" s="1"/>
  <c r="AH236" i="12"/>
  <c r="AH235" i="12" s="1"/>
  <c r="AK236" i="12"/>
  <c r="AK235" i="12" s="1"/>
  <c r="W236" i="12"/>
  <c r="W235" i="12" s="1"/>
  <c r="X84" i="12"/>
  <c r="Y84" i="12"/>
  <c r="Z84" i="12"/>
  <c r="AB84" i="12"/>
  <c r="AC84" i="12"/>
  <c r="AD84" i="12"/>
  <c r="AE84" i="12"/>
  <c r="AH84" i="12"/>
  <c r="AK84" i="12"/>
  <c r="W84" i="12"/>
  <c r="K141" i="12"/>
  <c r="L141" i="12"/>
  <c r="M141" i="12"/>
  <c r="X106" i="12"/>
  <c r="K106" i="12"/>
  <c r="L106" i="12"/>
  <c r="M106" i="12"/>
  <c r="X109" i="12"/>
  <c r="K109" i="12"/>
  <c r="L109" i="12"/>
  <c r="M109" i="12"/>
  <c r="K120" i="12"/>
  <c r="L120" i="12"/>
  <c r="M120" i="12"/>
  <c r="X124" i="12"/>
  <c r="K124" i="12"/>
  <c r="L124" i="12"/>
  <c r="M124" i="12"/>
  <c r="X133" i="12"/>
  <c r="W133" i="12"/>
  <c r="K133" i="12"/>
  <c r="L133" i="12"/>
  <c r="M133" i="12"/>
  <c r="X135" i="12"/>
  <c r="K135" i="12"/>
  <c r="L135" i="12"/>
  <c r="M135" i="12"/>
  <c r="X137" i="12"/>
  <c r="W137" i="12"/>
  <c r="K137" i="12"/>
  <c r="L137" i="12"/>
  <c r="M137" i="12"/>
  <c r="X145" i="12"/>
  <c r="AP140" i="12"/>
  <c r="K145" i="12"/>
  <c r="L145" i="12"/>
  <c r="M145" i="12"/>
  <c r="X152" i="12"/>
  <c r="K152" i="12"/>
  <c r="L152" i="12"/>
  <c r="M152" i="12"/>
  <c r="X163" i="12"/>
  <c r="Y163" i="12"/>
  <c r="Z163" i="12"/>
  <c r="K163" i="12"/>
  <c r="L163" i="12"/>
  <c r="M163" i="12"/>
  <c r="X170" i="12"/>
  <c r="K170" i="12"/>
  <c r="L170" i="12"/>
  <c r="M170" i="12"/>
  <c r="X188" i="12"/>
  <c r="K188" i="12"/>
  <c r="L188" i="12"/>
  <c r="M188" i="12"/>
  <c r="X190" i="12"/>
  <c r="K190" i="12"/>
  <c r="L190" i="12"/>
  <c r="M190" i="12"/>
  <c r="X198" i="12"/>
  <c r="X228" i="12"/>
  <c r="X227" i="12" s="1"/>
  <c r="Y228" i="12"/>
  <c r="Y227" i="12" s="1"/>
  <c r="Z228" i="12"/>
  <c r="Z227" i="12" s="1"/>
  <c r="AB228" i="12"/>
  <c r="AB227" i="12" s="1"/>
  <c r="AC228" i="12"/>
  <c r="AC227" i="12" s="1"/>
  <c r="AD228" i="12"/>
  <c r="AD227" i="12" s="1"/>
  <c r="AE228" i="12"/>
  <c r="AE227" i="12" s="1"/>
  <c r="AH228" i="12"/>
  <c r="AH227" i="12" s="1"/>
  <c r="AK228" i="12"/>
  <c r="AK227" i="12" s="1"/>
  <c r="AP228" i="12"/>
  <c r="AP227" i="12" s="1"/>
  <c r="W228" i="12"/>
  <c r="W227" i="12" s="1"/>
  <c r="X231" i="12"/>
  <c r="X230" i="12" s="1"/>
  <c r="Y231" i="12"/>
  <c r="Y230" i="12" s="1"/>
  <c r="Z231" i="12"/>
  <c r="Z230" i="12" s="1"/>
  <c r="AK231" i="12"/>
  <c r="AK230" i="12" s="1"/>
  <c r="AP231" i="12"/>
  <c r="AP230" i="12" s="1"/>
  <c r="W231" i="12"/>
  <c r="W230" i="12" s="1"/>
  <c r="B154" i="12"/>
  <c r="B155" i="12" s="1"/>
  <c r="B156" i="12" s="1"/>
  <c r="B157" i="12" s="1"/>
  <c r="B158" i="12" s="1"/>
  <c r="B159" i="12" s="1"/>
  <c r="B160" i="12" s="1"/>
  <c r="B161" i="12" s="1"/>
  <c r="B162" i="12" s="1"/>
  <c r="B164" i="12"/>
  <c r="B165" i="12" s="1"/>
  <c r="B166" i="12" s="1"/>
  <c r="B167" i="12" s="1"/>
  <c r="B168" i="12" s="1"/>
  <c r="B169" i="12" s="1"/>
  <c r="B171" i="12"/>
  <c r="B172" i="12" s="1"/>
  <c r="B173" i="12" s="1"/>
  <c r="B174" i="12" s="1"/>
  <c r="B175" i="12" s="1"/>
  <c r="B177" i="12"/>
  <c r="B178" i="12" s="1"/>
  <c r="B179" i="12" s="1"/>
  <c r="B180" i="12" s="1"/>
  <c r="B181" i="12" s="1"/>
  <c r="B182" i="12" s="1"/>
  <c r="B183" i="12" s="1"/>
  <c r="B184" i="12" s="1"/>
  <c r="B185" i="12" s="1"/>
  <c r="B186" i="12" s="1"/>
  <c r="B187" i="12" s="1"/>
  <c r="B189" i="12"/>
  <c r="B191" i="12"/>
  <c r="B192" i="12" s="1"/>
  <c r="B193" i="12" s="1"/>
  <c r="B194" i="12" s="1"/>
  <c r="B195" i="12" s="1"/>
  <c r="B196" i="12" s="1"/>
  <c r="B197" i="12" s="1"/>
  <c r="B199" i="12"/>
  <c r="B200" i="12" s="1"/>
  <c r="B201" i="12" s="1"/>
  <c r="B202" i="12" s="1"/>
  <c r="B203" i="12" s="1"/>
  <c r="X67" i="12"/>
  <c r="X66" i="12" s="1"/>
  <c r="Y67" i="12"/>
  <c r="Y66" i="12" s="1"/>
  <c r="Z67" i="12"/>
  <c r="Z66" i="12" s="1"/>
  <c r="AB67" i="12"/>
  <c r="AB66" i="12" s="1"/>
  <c r="AC67" i="12"/>
  <c r="AC66" i="12" s="1"/>
  <c r="AD67" i="12"/>
  <c r="AD66" i="12" s="1"/>
  <c r="AE67" i="12"/>
  <c r="AE66" i="12" s="1"/>
  <c r="AH67" i="12"/>
  <c r="AH66" i="12" s="1"/>
  <c r="AK67" i="12"/>
  <c r="AK66" i="12" s="1"/>
  <c r="W67" i="12"/>
  <c r="W66" i="12" s="1"/>
  <c r="X61" i="12"/>
  <c r="Y61" i="12"/>
  <c r="Z61" i="12"/>
  <c r="AB61" i="12"/>
  <c r="AC61" i="12"/>
  <c r="AD61" i="12"/>
  <c r="AE61" i="12"/>
  <c r="AH61" i="12"/>
  <c r="AK61" i="12"/>
  <c r="W61" i="12"/>
  <c r="AH48" i="12"/>
  <c r="AH17" i="12" s="1"/>
  <c r="B126" i="12"/>
  <c r="B127" i="12" s="1"/>
  <c r="B128" i="12" s="1"/>
  <c r="B129" i="12" s="1"/>
  <c r="Y139" i="12"/>
  <c r="Y138" i="12"/>
  <c r="AC136" i="12"/>
  <c r="AC135" i="12" s="1"/>
  <c r="Y175" i="12"/>
  <c r="AC175" i="12" s="1"/>
  <c r="Y174" i="12"/>
  <c r="AC174" i="12" s="1"/>
  <c r="Y173" i="12"/>
  <c r="Y112" i="12"/>
  <c r="Y109" i="12" s="1"/>
  <c r="Y412" i="12"/>
  <c r="Y411" i="12" s="1"/>
  <c r="AK257" i="12"/>
  <c r="AK256" i="12" s="1"/>
  <c r="AK255" i="12" s="1"/>
  <c r="AK254" i="12" s="1"/>
  <c r="AL222" i="12"/>
  <c r="H222" i="12" s="1"/>
  <c r="H221" i="12" s="1"/>
  <c r="AI408" i="12"/>
  <c r="AI407" i="12" s="1"/>
  <c r="AI406" i="12" s="1"/>
  <c r="AI38" i="12" s="1"/>
  <c r="AJ409" i="12"/>
  <c r="AL264" i="12"/>
  <c r="AL263" i="12" s="1"/>
  <c r="AR265" i="12"/>
  <c r="AA238" i="12"/>
  <c r="H314" i="12" l="1"/>
  <c r="F91" i="12"/>
  <c r="F78" i="12"/>
  <c r="F77" i="12" s="1"/>
  <c r="F76" i="12" s="1"/>
  <c r="F71" i="12" s="1"/>
  <c r="J245" i="12"/>
  <c r="J244" i="12" s="1"/>
  <c r="J243" i="12" s="1"/>
  <c r="J242" i="12" s="1"/>
  <c r="J29" i="12" s="1"/>
  <c r="H349" i="12"/>
  <c r="H348" i="12" s="1"/>
  <c r="H344" i="12" s="1"/>
  <c r="H63" i="12"/>
  <c r="F493" i="12"/>
  <c r="F492" i="12" s="1"/>
  <c r="H430" i="12"/>
  <c r="H429" i="12" s="1"/>
  <c r="H428" i="12" s="1"/>
  <c r="J453" i="12"/>
  <c r="J449" i="12" s="1"/>
  <c r="J448" i="12" s="1"/>
  <c r="J426" i="12" s="1"/>
  <c r="J425" i="12" s="1"/>
  <c r="J40" i="12" s="1"/>
  <c r="H313" i="12"/>
  <c r="H312" i="12" s="1"/>
  <c r="H311" i="12" s="1"/>
  <c r="H36" i="12" s="1"/>
  <c r="F398" i="12"/>
  <c r="F395" i="12" s="1"/>
  <c r="F394" i="12" s="1"/>
  <c r="F365" i="12" s="1"/>
  <c r="F343" i="12" s="1"/>
  <c r="F37" i="12" s="1"/>
  <c r="F338" i="12"/>
  <c r="F335" i="12" s="1"/>
  <c r="F334" i="12" s="1"/>
  <c r="F328" i="12" s="1"/>
  <c r="F311" i="12" s="1"/>
  <c r="F36" i="12" s="1"/>
  <c r="F494" i="12"/>
  <c r="AL286" i="12"/>
  <c r="H289" i="12"/>
  <c r="H286" i="12" s="1"/>
  <c r="AL466" i="12"/>
  <c r="F467" i="12"/>
  <c r="F466" i="12" s="1"/>
  <c r="F462" i="12" s="1"/>
  <c r="H368" i="12"/>
  <c r="H367" i="12" s="1"/>
  <c r="H366" i="12" s="1"/>
  <c r="H365" i="12" s="1"/>
  <c r="AL320" i="12"/>
  <c r="AL319" i="12" s="1"/>
  <c r="J322" i="12"/>
  <c r="J320" i="12" s="1"/>
  <c r="J319" i="12" s="1"/>
  <c r="J311" i="12" s="1"/>
  <c r="J36" i="12" s="1"/>
  <c r="F232" i="12"/>
  <c r="F231" i="12" s="1"/>
  <c r="F230" i="12" s="1"/>
  <c r="H232" i="12"/>
  <c r="H231" i="12" s="1"/>
  <c r="H230" i="12" s="1"/>
  <c r="F300" i="12"/>
  <c r="J354" i="12"/>
  <c r="J353" i="12" s="1"/>
  <c r="H237" i="12"/>
  <c r="H236" i="12" s="1"/>
  <c r="H235" i="12" s="1"/>
  <c r="H234" i="12" s="1"/>
  <c r="H28" i="12" s="1"/>
  <c r="J386" i="12"/>
  <c r="J383" i="12" s="1"/>
  <c r="J382" i="12" s="1"/>
  <c r="J365" i="12" s="1"/>
  <c r="AL284" i="12"/>
  <c r="H285" i="12"/>
  <c r="H284" i="12" s="1"/>
  <c r="F90" i="12"/>
  <c r="F89" i="12" s="1"/>
  <c r="F88" i="12" s="1"/>
  <c r="F83" i="12" s="1"/>
  <c r="AL438" i="12"/>
  <c r="AR438" i="12" s="1"/>
  <c r="H439" i="12"/>
  <c r="H438" i="12" s="1"/>
  <c r="H435" i="12" s="1"/>
  <c r="F476" i="12"/>
  <c r="J67" i="12"/>
  <c r="J66" i="12" s="1"/>
  <c r="J132" i="12"/>
  <c r="J131" i="12" s="1"/>
  <c r="J97" i="12" s="1"/>
  <c r="J82" i="12" s="1"/>
  <c r="J27" i="12" s="1"/>
  <c r="H218" i="12"/>
  <c r="H217" i="12" s="1"/>
  <c r="F248" i="12"/>
  <c r="F247" i="12" s="1"/>
  <c r="F242" i="12" s="1"/>
  <c r="F29" i="12" s="1"/>
  <c r="AL298" i="12"/>
  <c r="F299" i="12"/>
  <c r="F298" i="12" s="1"/>
  <c r="F409" i="12"/>
  <c r="F408" i="12" s="1"/>
  <c r="F407" i="12" s="1"/>
  <c r="F406" i="12" s="1"/>
  <c r="F38" i="12" s="1"/>
  <c r="X12" i="21"/>
  <c r="X11" i="21"/>
  <c r="X14" i="21" s="1"/>
  <c r="X16" i="21" s="1"/>
  <c r="U17" i="21" s="1"/>
  <c r="AA271" i="12"/>
  <c r="AA270" i="12" s="1"/>
  <c r="AA268" i="12" s="1"/>
  <c r="AA267" i="12" s="1"/>
  <c r="AA32" i="12" s="1"/>
  <c r="AA48" i="12"/>
  <c r="AA17" i="12" s="1"/>
  <c r="AL56" i="12"/>
  <c r="AA313" i="12"/>
  <c r="AA312" i="12" s="1"/>
  <c r="AL368" i="12"/>
  <c r="AJ368" i="12"/>
  <c r="AJ472" i="12"/>
  <c r="AO367" i="12"/>
  <c r="AO366" i="12" s="1"/>
  <c r="AI367" i="12"/>
  <c r="AI366" i="12" s="1"/>
  <c r="AF367" i="12"/>
  <c r="AF366" i="12" s="1"/>
  <c r="Y367" i="12"/>
  <c r="Y366" i="12" s="1"/>
  <c r="AB367" i="12"/>
  <c r="AB366" i="12" s="1"/>
  <c r="AM367" i="12"/>
  <c r="AM366" i="12" s="1"/>
  <c r="AC367" i="12"/>
  <c r="AC366" i="12" s="1"/>
  <c r="AN367" i="12"/>
  <c r="AN366" i="12" s="1"/>
  <c r="AD367" i="12"/>
  <c r="AD366" i="12" s="1"/>
  <c r="X462" i="12"/>
  <c r="AJ438" i="12"/>
  <c r="AI449" i="12"/>
  <c r="AI448" i="12" s="1"/>
  <c r="AF449" i="12"/>
  <c r="AF448" i="12" s="1"/>
  <c r="AH449" i="12"/>
  <c r="AH448" i="12" s="1"/>
  <c r="AO435" i="12"/>
  <c r="AN435" i="12"/>
  <c r="AE449" i="12"/>
  <c r="AE448" i="12" s="1"/>
  <c r="AD449" i="12"/>
  <c r="AD448" i="12" s="1"/>
  <c r="AF435" i="12"/>
  <c r="Z435" i="12"/>
  <c r="AI435" i="12"/>
  <c r="AM449" i="12"/>
  <c r="AM448" i="12" s="1"/>
  <c r="AC449" i="12"/>
  <c r="AC448" i="12" s="1"/>
  <c r="AB435" i="12"/>
  <c r="AM435" i="12"/>
  <c r="AA435" i="12"/>
  <c r="AB449" i="12"/>
  <c r="AB448" i="12" s="1"/>
  <c r="AC435" i="12"/>
  <c r="Z449" i="12"/>
  <c r="Z448" i="12" s="1"/>
  <c r="AD435" i="12"/>
  <c r="W449" i="12"/>
  <c r="W448" i="12" s="1"/>
  <c r="Y449" i="12"/>
  <c r="Y448" i="12" s="1"/>
  <c r="D435" i="12"/>
  <c r="D427" i="12" s="1"/>
  <c r="AE435" i="12"/>
  <c r="AK449" i="12"/>
  <c r="AK448" i="12" s="1"/>
  <c r="W435" i="12"/>
  <c r="AH435" i="12"/>
  <c r="AK435" i="12"/>
  <c r="AA449" i="12"/>
  <c r="Y435" i="12"/>
  <c r="AJ313" i="12"/>
  <c r="AJ312" i="12" s="1"/>
  <c r="AL386" i="12"/>
  <c r="AR386" i="12" s="1"/>
  <c r="AI395" i="12"/>
  <c r="AI394" i="12" s="1"/>
  <c r="AF395" i="12"/>
  <c r="AF394" i="12" s="1"/>
  <c r="Y395" i="12"/>
  <c r="Y394" i="12" s="1"/>
  <c r="AJ386" i="12"/>
  <c r="AB395" i="12"/>
  <c r="AB394" i="12" s="1"/>
  <c r="Y137" i="12"/>
  <c r="Y132" i="12" s="1"/>
  <c r="AD395" i="12"/>
  <c r="AD394" i="12" s="1"/>
  <c r="AM395" i="12"/>
  <c r="AM394" i="12" s="1"/>
  <c r="AP395" i="12"/>
  <c r="AP394" i="12" s="1"/>
  <c r="AP365" i="12" s="1"/>
  <c r="AP43" i="12" s="1"/>
  <c r="AC395" i="12"/>
  <c r="AC394" i="12" s="1"/>
  <c r="AN395" i="12"/>
  <c r="AN394" i="12" s="1"/>
  <c r="W395" i="12"/>
  <c r="W394" i="12" s="1"/>
  <c r="AE395" i="12"/>
  <c r="AE394" i="12" s="1"/>
  <c r="AK395" i="12"/>
  <c r="AK394" i="12" s="1"/>
  <c r="AH395" i="12"/>
  <c r="AH394" i="12" s="1"/>
  <c r="Z395" i="12"/>
  <c r="Z394" i="12" s="1"/>
  <c r="AO395" i="12"/>
  <c r="AO394" i="12" s="1"/>
  <c r="AL416" i="12"/>
  <c r="AM415" i="12"/>
  <c r="AM412" i="12" s="1"/>
  <c r="AM411" i="12" s="1"/>
  <c r="AA415" i="12"/>
  <c r="AA412" i="12" s="1"/>
  <c r="AA411" i="12" s="1"/>
  <c r="AI415" i="12"/>
  <c r="AI412" i="12" s="1"/>
  <c r="AI411" i="12" s="1"/>
  <c r="AL313" i="12"/>
  <c r="AL312" i="12" s="1"/>
  <c r="X99" i="12"/>
  <c r="X98" i="12" s="1"/>
  <c r="Y99" i="12"/>
  <c r="Y98" i="12" s="1"/>
  <c r="AC173" i="12"/>
  <c r="AC170" i="12" s="1"/>
  <c r="Y170" i="12"/>
  <c r="Y140" i="12" s="1"/>
  <c r="AL133" i="12"/>
  <c r="AR133" i="12" s="1"/>
  <c r="AL135" i="12"/>
  <c r="AJ135" i="12"/>
  <c r="AL300" i="12"/>
  <c r="AB140" i="12"/>
  <c r="AJ292" i="12"/>
  <c r="AJ298" i="12"/>
  <c r="AJ300" i="12"/>
  <c r="AJ284" i="12"/>
  <c r="AJ286" i="12"/>
  <c r="AK286" i="12"/>
  <c r="AK271" i="12" s="1"/>
  <c r="AK270" i="12" s="1"/>
  <c r="AK268" i="12" s="1"/>
  <c r="AK267" i="12" s="1"/>
  <c r="AK32" i="12" s="1"/>
  <c r="AL90" i="12"/>
  <c r="AL89" i="12" s="1"/>
  <c r="AL88" i="12" s="1"/>
  <c r="AJ90" i="12"/>
  <c r="AJ89" i="12" s="1"/>
  <c r="AJ88" i="12" s="1"/>
  <c r="AJ86" i="12"/>
  <c r="AJ85" i="12" s="1"/>
  <c r="AJ84" i="12" s="1"/>
  <c r="W140" i="12"/>
  <c r="AD140" i="12"/>
  <c r="AK140" i="12"/>
  <c r="G16" i="21"/>
  <c r="E16" i="21"/>
  <c r="K99" i="12"/>
  <c r="K98" i="12" s="1"/>
  <c r="AH140" i="12"/>
  <c r="AI140" i="12"/>
  <c r="AF140" i="12"/>
  <c r="AE140" i="12"/>
  <c r="L99" i="12"/>
  <c r="L98" i="12" s="1"/>
  <c r="C36" i="21"/>
  <c r="M99" i="12"/>
  <c r="M98" i="12" s="1"/>
  <c r="AM140" i="12"/>
  <c r="X140" i="12"/>
  <c r="AO140" i="12"/>
  <c r="Z14" i="21"/>
  <c r="Z140" i="12"/>
  <c r="W98" i="12"/>
  <c r="AN140" i="12"/>
  <c r="AA140" i="12"/>
  <c r="AN476" i="12"/>
  <c r="AN461" i="12" s="1"/>
  <c r="D448" i="12"/>
  <c r="AN448" i="12"/>
  <c r="M476" i="12"/>
  <c r="AM476" i="12"/>
  <c r="AM461" i="12" s="1"/>
  <c r="AO476" i="12"/>
  <c r="AO461" i="12" s="1"/>
  <c r="K435" i="12"/>
  <c r="AR480" i="12"/>
  <c r="K476" i="12"/>
  <c r="AO448" i="12"/>
  <c r="L476" i="12"/>
  <c r="AO428" i="12"/>
  <c r="AL336" i="12"/>
  <c r="AR336" i="12" s="1"/>
  <c r="M435" i="12"/>
  <c r="L435" i="12"/>
  <c r="AJ322" i="12"/>
  <c r="AI320" i="12"/>
  <c r="AI319" i="12" s="1"/>
  <c r="AA320" i="12"/>
  <c r="AA319" i="12" s="1"/>
  <c r="AJ254" i="12"/>
  <c r="AJ30" i="12" s="1"/>
  <c r="AJ503" i="12"/>
  <c r="AJ42" i="12" s="1"/>
  <c r="AI354" i="12"/>
  <c r="AL354" i="12"/>
  <c r="AD354" i="12"/>
  <c r="AD353" i="12" s="1"/>
  <c r="AJ356" i="12"/>
  <c r="K382" i="12"/>
  <c r="K491" i="12"/>
  <c r="K490" i="12" s="1"/>
  <c r="K489" i="12" s="1"/>
  <c r="K488" i="12" s="1"/>
  <c r="K41" i="12" s="1"/>
  <c r="L491" i="12"/>
  <c r="L490" i="12" s="1"/>
  <c r="L489" i="12" s="1"/>
  <c r="L488" i="12" s="1"/>
  <c r="L41" i="12" s="1"/>
  <c r="M491" i="12"/>
  <c r="M490" i="12" s="1"/>
  <c r="M489" i="12" s="1"/>
  <c r="M488" i="12" s="1"/>
  <c r="M41" i="12" s="1"/>
  <c r="L382" i="12"/>
  <c r="M382" i="12"/>
  <c r="AL291" i="12"/>
  <c r="AL290" i="12" s="1"/>
  <c r="AR290" i="12" s="1"/>
  <c r="AL77" i="12"/>
  <c r="AJ291" i="12"/>
  <c r="AJ290" i="12" s="1"/>
  <c r="X254" i="12"/>
  <c r="X30" i="12" s="1"/>
  <c r="AH255" i="12"/>
  <c r="AH254" i="12" s="1"/>
  <c r="AH30" i="12" s="1"/>
  <c r="K255" i="12"/>
  <c r="K254" i="12" s="1"/>
  <c r="K30" i="12" s="1"/>
  <c r="AI255" i="12"/>
  <c r="AI254" i="12" s="1"/>
  <c r="AI30" i="12" s="1"/>
  <c r="AB255" i="12"/>
  <c r="AB254" i="12" s="1"/>
  <c r="AB30" i="12" s="1"/>
  <c r="AJ77" i="12"/>
  <c r="AJ76" i="12" s="1"/>
  <c r="W71" i="12"/>
  <c r="W26" i="12" s="1"/>
  <c r="AC71" i="12"/>
  <c r="AC26" i="12" s="1"/>
  <c r="AR434" i="12"/>
  <c r="AM71" i="12"/>
  <c r="AM26" i="12" s="1"/>
  <c r="E21" i="21" s="1"/>
  <c r="AB71" i="12"/>
  <c r="AB26" i="12" s="1"/>
  <c r="AK71" i="12"/>
  <c r="AK26" i="12" s="1"/>
  <c r="AA71" i="12"/>
  <c r="AA26" i="12" s="1"/>
  <c r="AI71" i="12"/>
  <c r="AI26" i="12" s="1"/>
  <c r="Z71" i="12"/>
  <c r="Z26" i="12" s="1"/>
  <c r="AH71" i="12"/>
  <c r="AH26" i="12" s="1"/>
  <c r="Y71" i="12"/>
  <c r="Y26" i="12" s="1"/>
  <c r="AF71" i="12"/>
  <c r="AF26" i="12" s="1"/>
  <c r="AE71" i="12"/>
  <c r="AE26" i="12" s="1"/>
  <c r="AD71" i="12"/>
  <c r="AD26" i="12" s="1"/>
  <c r="AR387" i="12"/>
  <c r="AJ57" i="12"/>
  <c r="AR409" i="12"/>
  <c r="AR91" i="12"/>
  <c r="AS409" i="12"/>
  <c r="AA408" i="12"/>
  <c r="AA407" i="12" s="1"/>
  <c r="AA406" i="12" s="1"/>
  <c r="AA38" i="12" s="1"/>
  <c r="AL384" i="12"/>
  <c r="AR384" i="12" s="1"/>
  <c r="AL348" i="12"/>
  <c r="AL344" i="12" s="1"/>
  <c r="AR229" i="12"/>
  <c r="AR299" i="12"/>
  <c r="AL429" i="12"/>
  <c r="AR429" i="12" s="1"/>
  <c r="AR446" i="12"/>
  <c r="AR496" i="12"/>
  <c r="AL231" i="12"/>
  <c r="AL230" i="12" s="1"/>
  <c r="AR230" i="12" s="1"/>
  <c r="AR314" i="12"/>
  <c r="AR432" i="12"/>
  <c r="AR454" i="12"/>
  <c r="AL497" i="12"/>
  <c r="AR497" i="12" s="1"/>
  <c r="AL236" i="12"/>
  <c r="AL235" i="12" s="1"/>
  <c r="AR289" i="12"/>
  <c r="AL479" i="12"/>
  <c r="AL373" i="12"/>
  <c r="AR373" i="12" s="1"/>
  <c r="AL360" i="12"/>
  <c r="AR455" i="12"/>
  <c r="AI48" i="12"/>
  <c r="AI17" i="12" s="1"/>
  <c r="AR245" i="12"/>
  <c r="AR285" i="12"/>
  <c r="AL436" i="12"/>
  <c r="AR457" i="12"/>
  <c r="AL481" i="12"/>
  <c r="AR481" i="12" s="1"/>
  <c r="AR399" i="12"/>
  <c r="AR371" i="12"/>
  <c r="AL363" i="12"/>
  <c r="AL362" i="12" s="1"/>
  <c r="AR94" i="12"/>
  <c r="AL443" i="12"/>
  <c r="AR478" i="12"/>
  <c r="AR246" i="12"/>
  <c r="AR301" i="12"/>
  <c r="AR339" i="12"/>
  <c r="AR439" i="12"/>
  <c r="AL459" i="12"/>
  <c r="AL458" i="12" s="1"/>
  <c r="AR458" i="12" s="1"/>
  <c r="AL483" i="12"/>
  <c r="AR483" i="12" s="1"/>
  <c r="AL396" i="12"/>
  <c r="AR370" i="12"/>
  <c r="AL408" i="12"/>
  <c r="AL407" i="12" s="1"/>
  <c r="AL406" i="12" s="1"/>
  <c r="AL38" i="12" s="1"/>
  <c r="AS38" i="12" s="1"/>
  <c r="AR93" i="12"/>
  <c r="AL433" i="12"/>
  <c r="AR433" i="12" s="1"/>
  <c r="AR78" i="12"/>
  <c r="AR302" i="12"/>
  <c r="AR369" i="12"/>
  <c r="AR92" i="12"/>
  <c r="AR193" i="12"/>
  <c r="AR391" i="12"/>
  <c r="AR79" i="12"/>
  <c r="AL492" i="12"/>
  <c r="AR492" i="12" s="1"/>
  <c r="AL390" i="12"/>
  <c r="AL389" i="12" s="1"/>
  <c r="AR430" i="12"/>
  <c r="AL221" i="12"/>
  <c r="AE83" i="12"/>
  <c r="Z366" i="12"/>
  <c r="AO234" i="12"/>
  <c r="AN234" i="12"/>
  <c r="K395" i="12"/>
  <c r="K394" i="12" s="1"/>
  <c r="AN83" i="12"/>
  <c r="AR219" i="12"/>
  <c r="AL218" i="12"/>
  <c r="AL228" i="12"/>
  <c r="AL227" i="12" s="1"/>
  <c r="AR227" i="12" s="1"/>
  <c r="X395" i="12"/>
  <c r="X394" i="12" s="1"/>
  <c r="AM234" i="12"/>
  <c r="AM28" i="12" s="1"/>
  <c r="E23" i="21" s="1"/>
  <c r="M395" i="12"/>
  <c r="M394" i="12" s="1"/>
  <c r="X367" i="12"/>
  <c r="X366" i="12" s="1"/>
  <c r="L395" i="12"/>
  <c r="L394" i="12" s="1"/>
  <c r="AH366" i="12"/>
  <c r="W366" i="12"/>
  <c r="AR388" i="12"/>
  <c r="AR101" i="12"/>
  <c r="AL445" i="12"/>
  <c r="AE366" i="12"/>
  <c r="K367" i="12"/>
  <c r="K366" i="12" s="1"/>
  <c r="L367" i="12"/>
  <c r="L366" i="12" s="1"/>
  <c r="AC360" i="12"/>
  <c r="AA361" i="12"/>
  <c r="AR361" i="12" s="1"/>
  <c r="M367" i="12"/>
  <c r="M366" i="12" s="1"/>
  <c r="AA366" i="12"/>
  <c r="AR55" i="12"/>
  <c r="AF83" i="12"/>
  <c r="AB83" i="12"/>
  <c r="AS195" i="12"/>
  <c r="AR129" i="12"/>
  <c r="AJ237" i="12"/>
  <c r="AJ248" i="12"/>
  <c r="AJ247" i="12" s="1"/>
  <c r="AA248" i="12"/>
  <c r="AA247" i="12" s="1"/>
  <c r="AR249" i="12"/>
  <c r="AL248" i="12"/>
  <c r="AL247" i="12" s="1"/>
  <c r="AR484" i="12"/>
  <c r="AJ62" i="12"/>
  <c r="AJ61" i="12" s="1"/>
  <c r="AS54" i="12"/>
  <c r="AR467" i="12"/>
  <c r="AS148" i="12"/>
  <c r="AR138" i="12"/>
  <c r="AS57" i="12"/>
  <c r="AR460" i="12"/>
  <c r="AR374" i="12"/>
  <c r="AS161" i="12"/>
  <c r="AR53" i="12"/>
  <c r="AR125" i="12"/>
  <c r="AR191" i="12"/>
  <c r="AR201" i="12"/>
  <c r="AS115" i="12"/>
  <c r="AA258" i="12"/>
  <c r="AR258" i="12" s="1"/>
  <c r="X449" i="12"/>
  <c r="X448" i="12" s="1"/>
  <c r="AS107" i="12"/>
  <c r="AS171" i="12"/>
  <c r="AS200" i="12"/>
  <c r="AS484" i="12"/>
  <c r="AL338" i="12"/>
  <c r="AJ477" i="12"/>
  <c r="AR397" i="12"/>
  <c r="AL67" i="12"/>
  <c r="AL66" i="12" s="1"/>
  <c r="AR63" i="12"/>
  <c r="AJ453" i="12"/>
  <c r="AS144" i="12"/>
  <c r="AJ69" i="12"/>
  <c r="AJ67" i="12" s="1"/>
  <c r="AJ66" i="12" s="1"/>
  <c r="AR194" i="12"/>
  <c r="AL238" i="12"/>
  <c r="AS238" i="12" s="1"/>
  <c r="AR68" i="12"/>
  <c r="AR108" i="12"/>
  <c r="AR340" i="12"/>
  <c r="AS192" i="12"/>
  <c r="AR385" i="12"/>
  <c r="AR195" i="12"/>
  <c r="M32" i="12"/>
  <c r="AR139" i="12"/>
  <c r="AI83" i="12"/>
  <c r="AF30" i="12"/>
  <c r="AJ429" i="12"/>
  <c r="AR322" i="12"/>
  <c r="AA428" i="12"/>
  <c r="Y353" i="12"/>
  <c r="Y335" i="12"/>
  <c r="Y334" i="12" s="1"/>
  <c r="Y328" i="12" s="1"/>
  <c r="AS138" i="12"/>
  <c r="K353" i="12"/>
  <c r="AS455" i="12"/>
  <c r="AJ479" i="12"/>
  <c r="L449" i="12"/>
  <c r="L448" i="12" s="1"/>
  <c r="AR419" i="12"/>
  <c r="AA42" i="12"/>
  <c r="AR42" i="12" s="1"/>
  <c r="AR127" i="12"/>
  <c r="AR161" i="12"/>
  <c r="AO83" i="12"/>
  <c r="AR498" i="12"/>
  <c r="AS121" i="12"/>
  <c r="AJ444" i="12"/>
  <c r="Y83" i="12"/>
  <c r="AL453" i="12"/>
  <c r="AN335" i="12"/>
  <c r="AN334" i="12" s="1"/>
  <c r="AI236" i="12"/>
  <c r="AI235" i="12" s="1"/>
  <c r="AI234" i="12" s="1"/>
  <c r="AI28" i="12" s="1"/>
  <c r="AL431" i="12"/>
  <c r="AR431" i="12" s="1"/>
  <c r="AR260" i="12"/>
  <c r="Z242" i="12"/>
  <c r="Z29" i="12" s="1"/>
  <c r="AD30" i="12"/>
  <c r="AR196" i="12"/>
  <c r="AS130" i="12"/>
  <c r="AS103" i="12"/>
  <c r="AN353" i="12"/>
  <c r="Z353" i="12"/>
  <c r="AR157" i="12"/>
  <c r="AS114" i="12"/>
  <c r="AS496" i="12"/>
  <c r="AS193" i="12"/>
  <c r="AB428" i="12"/>
  <c r="AA83" i="12"/>
  <c r="AS162" i="12"/>
  <c r="AJ419" i="12"/>
  <c r="AS419" i="12" s="1"/>
  <c r="AS341" i="12"/>
  <c r="AS399" i="12"/>
  <c r="AK428" i="12"/>
  <c r="AS417" i="12"/>
  <c r="AS139" i="12"/>
  <c r="AS154" i="12"/>
  <c r="AS166" i="12"/>
  <c r="AJ358" i="12"/>
  <c r="AN254" i="12"/>
  <c r="AN30" i="12" s="1"/>
  <c r="G25" i="21" s="1"/>
  <c r="AO335" i="12"/>
  <c r="AO334" i="12" s="1"/>
  <c r="AS175" i="12"/>
  <c r="AL398" i="12"/>
  <c r="AR398" i="12" s="1"/>
  <c r="L335" i="12"/>
  <c r="L334" i="12" s="1"/>
  <c r="L328" i="12" s="1"/>
  <c r="L311" i="12" s="1"/>
  <c r="L36" i="12" s="1"/>
  <c r="AI61" i="12"/>
  <c r="K132" i="12"/>
  <c r="X353" i="12"/>
  <c r="Y344" i="12"/>
  <c r="M335" i="12"/>
  <c r="M334" i="12" s="1"/>
  <c r="M328" i="12" s="1"/>
  <c r="M311" i="12" s="1"/>
  <c r="M36" i="12" s="1"/>
  <c r="M449" i="12"/>
  <c r="M448" i="12" s="1"/>
  <c r="D36" i="12"/>
  <c r="AM335" i="12"/>
  <c r="AM334" i="12" s="1"/>
  <c r="AA335" i="12"/>
  <c r="AA334" i="12" s="1"/>
  <c r="AA328" i="12" s="1"/>
  <c r="AE491" i="12"/>
  <c r="AE490" i="12" s="1"/>
  <c r="AE489" i="12" s="1"/>
  <c r="AS117" i="12"/>
  <c r="AA358" i="12"/>
  <c r="AR358" i="12" s="1"/>
  <c r="AD491" i="12"/>
  <c r="AD490" i="12" s="1"/>
  <c r="AD489" i="12" s="1"/>
  <c r="AS289" i="12"/>
  <c r="AC383" i="12"/>
  <c r="AK344" i="12"/>
  <c r="AS201" i="12"/>
  <c r="L32" i="12"/>
  <c r="K32" i="12"/>
  <c r="W32" i="12"/>
  <c r="AJ408" i="12"/>
  <c r="AJ407" i="12" s="1"/>
  <c r="AJ406" i="12" s="1"/>
  <c r="AJ38" i="12" s="1"/>
  <c r="X83" i="12"/>
  <c r="AS434" i="12"/>
  <c r="AL494" i="12"/>
  <c r="AR494" i="12" s="1"/>
  <c r="AR356" i="12"/>
  <c r="AS191" i="12"/>
  <c r="AR197" i="12"/>
  <c r="AS122" i="12"/>
  <c r="AS203" i="12"/>
  <c r="AC234" i="12"/>
  <c r="AC28" i="12" s="1"/>
  <c r="M30" i="12"/>
  <c r="AR493" i="12"/>
  <c r="Z335" i="12"/>
  <c r="Z334" i="12" s="1"/>
  <c r="Z328" i="12" s="1"/>
  <c r="AS168" i="12"/>
  <c r="AR400" i="12"/>
  <c r="AS93" i="12"/>
  <c r="AR134" i="12"/>
  <c r="AC60" i="12"/>
  <c r="AC25" i="12" s="1"/>
  <c r="AP335" i="12"/>
  <c r="AR122" i="12"/>
  <c r="AS125" i="12"/>
  <c r="AC242" i="12"/>
  <c r="AC29" i="12" s="1"/>
  <c r="AM428" i="12"/>
  <c r="AR119" i="12"/>
  <c r="AF60" i="12"/>
  <c r="AF25" i="12" s="1"/>
  <c r="AL48" i="12"/>
  <c r="AS48" i="12" s="1"/>
  <c r="AM254" i="12"/>
  <c r="AM30" i="12" s="1"/>
  <c r="E25" i="21" s="1"/>
  <c r="W335" i="12"/>
  <c r="W334" i="12" s="1"/>
  <c r="W328" i="12" s="1"/>
  <c r="AF335" i="12"/>
  <c r="AF334" i="12" s="1"/>
  <c r="AF328" i="12" s="1"/>
  <c r="AR102" i="12"/>
  <c r="AR203" i="12"/>
  <c r="AN132" i="12"/>
  <c r="AH491" i="12"/>
  <c r="AH490" i="12" s="1"/>
  <c r="AH489" i="12" s="1"/>
  <c r="AH488" i="12" s="1"/>
  <c r="Z491" i="12"/>
  <c r="Z490" i="12" s="1"/>
  <c r="Z489" i="12" s="1"/>
  <c r="AS197" i="12"/>
  <c r="AR176" i="12"/>
  <c r="AL244" i="12"/>
  <c r="AL243" i="12" s="1"/>
  <c r="AE344" i="12"/>
  <c r="Z344" i="12"/>
  <c r="AC83" i="12"/>
  <c r="AK335" i="12"/>
  <c r="AK334" i="12" s="1"/>
  <c r="AS196" i="12"/>
  <c r="Z234" i="12"/>
  <c r="Z28" i="12" s="1"/>
  <c r="W476" i="12"/>
  <c r="AM83" i="12"/>
  <c r="AR337" i="12"/>
  <c r="AR232" i="12"/>
  <c r="AL456" i="12"/>
  <c r="AS457" i="12"/>
  <c r="Z132" i="12"/>
  <c r="AC428" i="12"/>
  <c r="M353" i="12"/>
  <c r="X411" i="12"/>
  <c r="AR437" i="12"/>
  <c r="AR482" i="12"/>
  <c r="AS102" i="12"/>
  <c r="AL257" i="12"/>
  <c r="AR259" i="12"/>
  <c r="W491" i="12"/>
  <c r="W490" i="12" s="1"/>
  <c r="W489" i="12" s="1"/>
  <c r="AS174" i="12"/>
  <c r="AR163" i="12"/>
  <c r="AR417" i="12"/>
  <c r="AA234" i="12"/>
  <c r="AA28" i="12" s="1"/>
  <c r="AH234" i="12"/>
  <c r="AH28" i="12" s="1"/>
  <c r="W242" i="12"/>
  <c r="W29" i="12" s="1"/>
  <c r="AB242" i="12"/>
  <c r="AB29" i="12" s="1"/>
  <c r="AS119" i="12"/>
  <c r="AK476" i="12"/>
  <c r="W428" i="12"/>
  <c r="AE30" i="12"/>
  <c r="AK30" i="12"/>
  <c r="AC30" i="12"/>
  <c r="K449" i="12"/>
  <c r="K448" i="12" s="1"/>
  <c r="AN428" i="12"/>
  <c r="AF48" i="12"/>
  <c r="AF17" i="12" s="1"/>
  <c r="AK353" i="12"/>
  <c r="AR192" i="12"/>
  <c r="AR222" i="12"/>
  <c r="AR199" i="12"/>
  <c r="AR188" i="12"/>
  <c r="AS151" i="12"/>
  <c r="AE476" i="12"/>
  <c r="AS370" i="12"/>
  <c r="AR136" i="12"/>
  <c r="AR220" i="12"/>
  <c r="X242" i="12"/>
  <c r="X29" i="12" s="1"/>
  <c r="AR169" i="12"/>
  <c r="AC491" i="12"/>
  <c r="AC490" i="12" s="1"/>
  <c r="AC489" i="12" s="1"/>
  <c r="AS126" i="12"/>
  <c r="L140" i="12"/>
  <c r="AJ385" i="12"/>
  <c r="AJ384" i="12" s="1"/>
  <c r="AI428" i="12"/>
  <c r="AR57" i="12"/>
  <c r="AR69" i="12"/>
  <c r="AR126" i="12"/>
  <c r="AR130" i="12"/>
  <c r="W60" i="12"/>
  <c r="W25" i="12" s="1"/>
  <c r="AK83" i="12"/>
  <c r="W30" i="12"/>
  <c r="L428" i="12"/>
  <c r="AF247" i="12"/>
  <c r="AF242" i="12" s="1"/>
  <c r="AF29" i="12" s="1"/>
  <c r="X335" i="12"/>
  <c r="X334" i="12" s="1"/>
  <c r="X328" i="12" s="1"/>
  <c r="X311" i="12" s="1"/>
  <c r="X36" i="12" s="1"/>
  <c r="AD335" i="12"/>
  <c r="AD334" i="12" s="1"/>
  <c r="AD328" i="12" s="1"/>
  <c r="AO344" i="12"/>
  <c r="AF32" i="12"/>
  <c r="AR444" i="12"/>
  <c r="AR237" i="12"/>
  <c r="AJ220" i="12"/>
  <c r="X132" i="12"/>
  <c r="AH83" i="12"/>
  <c r="AK234" i="12"/>
  <c r="AK28" i="12" s="1"/>
  <c r="X234" i="12"/>
  <c r="AD242" i="12"/>
  <c r="AD29" i="12" s="1"/>
  <c r="L30" i="12"/>
  <c r="M428" i="12"/>
  <c r="AO132" i="12"/>
  <c r="AR495" i="12"/>
  <c r="AF132" i="12"/>
  <c r="AS105" i="12"/>
  <c r="AS295" i="12"/>
  <c r="AM353" i="12"/>
  <c r="AJ398" i="12"/>
  <c r="AJ395" i="12" s="1"/>
  <c r="AS371" i="12"/>
  <c r="AE32" i="12"/>
  <c r="AD32" i="12"/>
  <c r="W234" i="12"/>
  <c r="W28" i="12" s="1"/>
  <c r="AK242" i="12"/>
  <c r="AK29" i="12" s="1"/>
  <c r="K335" i="12"/>
  <c r="K334" i="12" s="1"/>
  <c r="K328" i="12" s="1"/>
  <c r="K311" i="12" s="1"/>
  <c r="K36" i="12" s="1"/>
  <c r="Y476" i="12"/>
  <c r="K428" i="12"/>
  <c r="Y30" i="12"/>
  <c r="AO254" i="12"/>
  <c r="AK491" i="12"/>
  <c r="AK490" i="12" s="1"/>
  <c r="AK489" i="12" s="1"/>
  <c r="AB491" i="12"/>
  <c r="AB490" i="12" s="1"/>
  <c r="AB489" i="12" s="1"/>
  <c r="AI335" i="12"/>
  <c r="AI334" i="12" s="1"/>
  <c r="AI328" i="12" s="1"/>
  <c r="AE383" i="12"/>
  <c r="AN344" i="12"/>
  <c r="AD83" i="12"/>
  <c r="AO25" i="12"/>
  <c r="AA60" i="12"/>
  <c r="AA25" i="12" s="1"/>
  <c r="AH335" i="12"/>
  <c r="AH334" i="12" s="1"/>
  <c r="AB32" i="12"/>
  <c r="AR263" i="12"/>
  <c r="AL262" i="12"/>
  <c r="AL31" i="12" s="1"/>
  <c r="AS31" i="12" s="1"/>
  <c r="M132" i="12"/>
  <c r="AH428" i="12"/>
  <c r="AK132" i="12"/>
  <c r="X476" i="12"/>
  <c r="Z428" i="12"/>
  <c r="Y428" i="12"/>
  <c r="AN32" i="12"/>
  <c r="G27" i="21" s="1"/>
  <c r="AM32" i="12"/>
  <c r="E27" i="21" s="1"/>
  <c r="AN242" i="12"/>
  <c r="AN29" i="12" s="1"/>
  <c r="G24" i="21" s="1"/>
  <c r="AI32" i="12"/>
  <c r="Z32" i="12"/>
  <c r="AB234" i="12"/>
  <c r="AB28" i="12" s="1"/>
  <c r="AH242" i="12"/>
  <c r="AH29" i="12" s="1"/>
  <c r="Z476" i="12"/>
  <c r="AJ223" i="12"/>
  <c r="AR223" i="12"/>
  <c r="AA476" i="12"/>
  <c r="AH32" i="12"/>
  <c r="Y32" i="12"/>
  <c r="AR85" i="12"/>
  <c r="AJ134" i="12"/>
  <c r="AJ133" i="12" s="1"/>
  <c r="AS194" i="12"/>
  <c r="AS129" i="12"/>
  <c r="AL64" i="12"/>
  <c r="AM132" i="12"/>
  <c r="X267" i="12"/>
  <c r="AK60" i="12"/>
  <c r="AK25" i="12" s="1"/>
  <c r="AD132" i="12"/>
  <c r="Z30" i="12"/>
  <c r="AF491" i="12"/>
  <c r="AF490" i="12" s="1"/>
  <c r="AF489" i="12" s="1"/>
  <c r="AF488" i="12" s="1"/>
  <c r="X491" i="12"/>
  <c r="X490" i="12" s="1"/>
  <c r="X489" i="12" s="1"/>
  <c r="X488" i="12" s="1"/>
  <c r="AS118" i="12"/>
  <c r="AS149" i="12"/>
  <c r="AI491" i="12"/>
  <c r="AI490" i="12" s="1"/>
  <c r="AI489" i="12" s="1"/>
  <c r="AI488" i="12" s="1"/>
  <c r="AA491" i="12"/>
  <c r="AA490" i="12" s="1"/>
  <c r="AA489" i="12" s="1"/>
  <c r="AN491" i="12"/>
  <c r="AN490" i="12" s="1"/>
  <c r="AN489" i="12" s="1"/>
  <c r="AN488" i="12" s="1"/>
  <c r="AS158" i="12"/>
  <c r="AS199" i="12"/>
  <c r="AJ492" i="12"/>
  <c r="AJ433" i="12"/>
  <c r="AM491" i="12"/>
  <c r="AM490" i="12" s="1"/>
  <c r="AM489" i="12" s="1"/>
  <c r="AJ336" i="12"/>
  <c r="AS167" i="12"/>
  <c r="AS340" i="12"/>
  <c r="AB335" i="12"/>
  <c r="AB334" i="12" s="1"/>
  <c r="AB328" i="12" s="1"/>
  <c r="AJ497" i="12"/>
  <c r="AS146" i="12"/>
  <c r="AI383" i="12"/>
  <c r="AE353" i="12"/>
  <c r="AA383" i="12"/>
  <c r="AJ361" i="12"/>
  <c r="AJ360" i="12" s="1"/>
  <c r="W344" i="12"/>
  <c r="AI344" i="12"/>
  <c r="C26" i="21"/>
  <c r="AI242" i="12"/>
  <c r="AI29" i="12" s="1"/>
  <c r="Y234" i="12"/>
  <c r="Y28" i="12" s="1"/>
  <c r="AS169" i="12"/>
  <c r="AH344" i="12"/>
  <c r="AB60" i="12"/>
  <c r="AB25" i="12" s="1"/>
  <c r="L132" i="12"/>
  <c r="AB132" i="12"/>
  <c r="W132" i="12"/>
  <c r="AO39" i="12"/>
  <c r="I33" i="21" s="1"/>
  <c r="AF428" i="12"/>
  <c r="AA132" i="12"/>
  <c r="AS155" i="12"/>
  <c r="AF476" i="12"/>
  <c r="AR170" i="12"/>
  <c r="AP34" i="12"/>
  <c r="AK383" i="12"/>
  <c r="AC32" i="12"/>
  <c r="AS173" i="12"/>
  <c r="AB353" i="12"/>
  <c r="X428" i="12"/>
  <c r="AR143" i="12"/>
  <c r="AS143" i="12"/>
  <c r="AH60" i="12"/>
  <c r="AH25" i="12" s="1"/>
  <c r="Y242" i="12"/>
  <c r="Y29" i="12" s="1"/>
  <c r="L462" i="12"/>
  <c r="K140" i="12"/>
  <c r="AE242" i="12"/>
  <c r="AE29" i="12" s="1"/>
  <c r="M140" i="12"/>
  <c r="AH132" i="12"/>
  <c r="M462" i="12"/>
  <c r="AP132" i="12"/>
  <c r="AE132" i="12"/>
  <c r="AE428" i="12"/>
  <c r="X435" i="12"/>
  <c r="AA243" i="12"/>
  <c r="AS430" i="12"/>
  <c r="AJ445" i="12"/>
  <c r="AJ459" i="12"/>
  <c r="AJ458" i="12" s="1"/>
  <c r="AO34" i="12"/>
  <c r="X60" i="12"/>
  <c r="X25" i="12" s="1"/>
  <c r="W83" i="12"/>
  <c r="AM242" i="12"/>
  <c r="AS498" i="12"/>
  <c r="AO491" i="12"/>
  <c r="AO490" i="12" s="1"/>
  <c r="AO489" i="12" s="1"/>
  <c r="AO488" i="12" s="1"/>
  <c r="AR49" i="12"/>
  <c r="AR264" i="12"/>
  <c r="Z60" i="12"/>
  <c r="Z25" i="12" s="1"/>
  <c r="AD428" i="12"/>
  <c r="L353" i="12"/>
  <c r="AC476" i="12"/>
  <c r="AS189" i="12"/>
  <c r="K34" i="12"/>
  <c r="AE60" i="12"/>
  <c r="AE25" i="12" s="1"/>
  <c r="Z83" i="12"/>
  <c r="AS142" i="12"/>
  <c r="AI476" i="12"/>
  <c r="AH476" i="12"/>
  <c r="AS495" i="12"/>
  <c r="Z34" i="12"/>
  <c r="Z305" i="12"/>
  <c r="M34" i="12"/>
  <c r="M242" i="12"/>
  <c r="M29" i="12" s="1"/>
  <c r="AF344" i="12"/>
  <c r="Y491" i="12"/>
  <c r="Y490" i="12" s="1"/>
  <c r="Y489" i="12" s="1"/>
  <c r="AS153" i="12"/>
  <c r="AS164" i="12"/>
  <c r="AS159" i="12"/>
  <c r="Y305" i="12"/>
  <c r="W383" i="12"/>
  <c r="AF353" i="12"/>
  <c r="X383" i="12"/>
  <c r="AP29" i="12"/>
  <c r="K24" i="21" s="1"/>
  <c r="AM344" i="12"/>
  <c r="AC344" i="12"/>
  <c r="AI360" i="12"/>
  <c r="AH383" i="12"/>
  <c r="Z383" i="12"/>
  <c r="X344" i="12"/>
  <c r="AS79" i="12"/>
  <c r="AS110" i="12"/>
  <c r="AS160" i="12"/>
  <c r="AS293" i="12"/>
  <c r="AA305" i="12"/>
  <c r="AP25" i="12"/>
  <c r="AN383" i="12"/>
  <c r="AF383" i="12"/>
  <c r="AD383" i="12"/>
  <c r="AB383" i="12"/>
  <c r="AB344" i="12"/>
  <c r="AE234" i="12"/>
  <c r="AE28" i="12" s="1"/>
  <c r="AJ49" i="12"/>
  <c r="AS92" i="12"/>
  <c r="AS111" i="12"/>
  <c r="AI34" i="12"/>
  <c r="AJ456" i="12"/>
  <c r="AS493" i="12"/>
  <c r="AS112" i="12"/>
  <c r="AS337" i="12"/>
  <c r="L242" i="12"/>
  <c r="L29" i="12" s="1"/>
  <c r="W353" i="12"/>
  <c r="AM383" i="12"/>
  <c r="Y383" i="12"/>
  <c r="AS94" i="12"/>
  <c r="AS113" i="12"/>
  <c r="AD476" i="12"/>
  <c r="AS400" i="12"/>
  <c r="X389" i="12"/>
  <c r="AO353" i="12"/>
  <c r="AA359" i="12"/>
  <c r="AR359" i="12" s="1"/>
  <c r="AD344" i="12"/>
  <c r="AS127" i="12"/>
  <c r="AS42" i="12"/>
  <c r="AI66" i="12"/>
  <c r="AR84" i="12"/>
  <c r="AF235" i="12"/>
  <c r="Y60" i="12"/>
  <c r="AD60" i="12"/>
  <c r="AK49" i="12"/>
  <c r="AK56" i="12" s="1"/>
  <c r="AS49" i="12"/>
  <c r="AC132" i="12"/>
  <c r="AL418" i="12"/>
  <c r="H418" i="12" s="1"/>
  <c r="AL477" i="12"/>
  <c r="AS478" i="12"/>
  <c r="AD234" i="12"/>
  <c r="AD28" i="12" s="1"/>
  <c r="AM60" i="12"/>
  <c r="AR202" i="12"/>
  <c r="AS202" i="12"/>
  <c r="K462" i="12"/>
  <c r="AJ494" i="12"/>
  <c r="AS480" i="12"/>
  <c r="AS165" i="12"/>
  <c r="AS172" i="12"/>
  <c r="AS104" i="12"/>
  <c r="AS177" i="12"/>
  <c r="AJ244" i="12"/>
  <c r="AJ243" i="12" s="1"/>
  <c r="AS147" i="12"/>
  <c r="AS150" i="12"/>
  <c r="AS156" i="12"/>
  <c r="AS178" i="12"/>
  <c r="AS246" i="12"/>
  <c r="AJ228" i="12"/>
  <c r="AJ227" i="12" s="1"/>
  <c r="AJ305" i="12"/>
  <c r="AJ34" i="12"/>
  <c r="AE34" i="12"/>
  <c r="AE305" i="12"/>
  <c r="AB476" i="12"/>
  <c r="AE335" i="12"/>
  <c r="AE334" i="12" s="1"/>
  <c r="AE328" i="12" s="1"/>
  <c r="AS116" i="12"/>
  <c r="AS128" i="12"/>
  <c r="AJ338" i="12"/>
  <c r="W305" i="12"/>
  <c r="W34" i="12"/>
  <c r="AC335" i="12"/>
  <c r="AC334" i="12" s="1"/>
  <c r="AC328" i="12" s="1"/>
  <c r="AH305" i="12"/>
  <c r="AH34" i="12"/>
  <c r="AC305" i="12"/>
  <c r="AC34" i="12"/>
  <c r="AK34" i="12"/>
  <c r="AN34" i="12"/>
  <c r="AD305" i="12"/>
  <c r="AD34" i="12"/>
  <c r="L34" i="12"/>
  <c r="K242" i="12"/>
  <c r="K29" i="12" s="1"/>
  <c r="AK369" i="12"/>
  <c r="AA396" i="12"/>
  <c r="AA395" i="12" s="1"/>
  <c r="AS294" i="12"/>
  <c r="AB305" i="12"/>
  <c r="X305" i="12"/>
  <c r="AJ373" i="12"/>
  <c r="AO29" i="12"/>
  <c r="AF305" i="12"/>
  <c r="AF34" i="12"/>
  <c r="AH353" i="12"/>
  <c r="H343" i="12" l="1"/>
  <c r="H37" i="12" s="1"/>
  <c r="H257" i="12"/>
  <c r="H256" i="12" s="1"/>
  <c r="H255" i="12" s="1"/>
  <c r="H254" i="12" s="1"/>
  <c r="H30" i="12" s="1"/>
  <c r="H416" i="12"/>
  <c r="H415" i="12" s="1"/>
  <c r="H412" i="12" s="1"/>
  <c r="H411" i="12" s="1"/>
  <c r="H39" i="12" s="1"/>
  <c r="F491" i="12"/>
  <c r="F490" i="12" s="1"/>
  <c r="F489" i="12" s="1"/>
  <c r="F488" i="12" s="1"/>
  <c r="F41" i="12" s="1"/>
  <c r="I20" i="21"/>
  <c r="AL271" i="12"/>
  <c r="AL270" i="12" s="1"/>
  <c r="AL268" i="12" s="1"/>
  <c r="AL267" i="12" s="1"/>
  <c r="AL32" i="12" s="1"/>
  <c r="AS32" i="12" s="1"/>
  <c r="H271" i="12"/>
  <c r="H270" i="12" s="1"/>
  <c r="H268" i="12" s="1"/>
  <c r="H267" i="12" s="1"/>
  <c r="H32" i="12" s="1"/>
  <c r="F291" i="12"/>
  <c r="F290" i="12" s="1"/>
  <c r="F268" i="12" s="1"/>
  <c r="F267" i="12" s="1"/>
  <c r="F32" i="12" s="1"/>
  <c r="F26" i="12"/>
  <c r="F461" i="12"/>
  <c r="F426" i="12" s="1"/>
  <c r="F425" i="12" s="1"/>
  <c r="F40" i="12" s="1"/>
  <c r="H82" i="12"/>
  <c r="H27" i="12" s="1"/>
  <c r="H64" i="12"/>
  <c r="H62" i="12" s="1"/>
  <c r="H61" i="12" s="1"/>
  <c r="F82" i="12"/>
  <c r="F27" i="12" s="1"/>
  <c r="J343" i="12"/>
  <c r="J37" i="12" s="1"/>
  <c r="H427" i="12"/>
  <c r="H426" i="12" s="1"/>
  <c r="H425" i="12" s="1"/>
  <c r="H40" i="12" s="1"/>
  <c r="J60" i="12"/>
  <c r="AS66" i="12"/>
  <c r="AS439" i="12"/>
  <c r="AR416" i="12"/>
  <c r="AS136" i="12"/>
  <c r="AS467" i="12"/>
  <c r="AK368" i="12"/>
  <c r="AK367" i="12" s="1"/>
  <c r="AK366" i="12" s="1"/>
  <c r="AM328" i="12"/>
  <c r="AM311" i="12" s="1"/>
  <c r="AM36" i="12" s="1"/>
  <c r="E30" i="21" s="1"/>
  <c r="AK328" i="12"/>
  <c r="AK311" i="12" s="1"/>
  <c r="AK36" i="12" s="1"/>
  <c r="AH328" i="12"/>
  <c r="AH311" i="12" s="1"/>
  <c r="AH36" i="12" s="1"/>
  <c r="AL367" i="12"/>
  <c r="AL366" i="12" s="1"/>
  <c r="AN328" i="12"/>
  <c r="AN311" i="12" s="1"/>
  <c r="AN36" i="12" s="1"/>
  <c r="G30" i="21" s="1"/>
  <c r="AO328" i="12"/>
  <c r="AO311" i="12" s="1"/>
  <c r="AO36" i="12" s="1"/>
  <c r="I30" i="21" s="1"/>
  <c r="AS387" i="12"/>
  <c r="AL462" i="12"/>
  <c r="AR462" i="12" s="1"/>
  <c r="AJ367" i="12"/>
  <c r="AJ366" i="12" s="1"/>
  <c r="AS87" i="12"/>
  <c r="AO365" i="12"/>
  <c r="AO43" i="12" s="1"/>
  <c r="AJ462" i="12"/>
  <c r="D426" i="12"/>
  <c r="D425" i="12" s="1"/>
  <c r="D40" i="12" s="1"/>
  <c r="AJ449" i="12"/>
  <c r="AJ448" i="12" s="1"/>
  <c r="AR436" i="12"/>
  <c r="AL435" i="12"/>
  <c r="AR435" i="12" s="1"/>
  <c r="AR453" i="12"/>
  <c r="AL449" i="12"/>
  <c r="AL448" i="12" s="1"/>
  <c r="AS386" i="12"/>
  <c r="AS135" i="12"/>
  <c r="AR390" i="12"/>
  <c r="AL395" i="12"/>
  <c r="AL394" i="12" s="1"/>
  <c r="AL132" i="12"/>
  <c r="AS416" i="12"/>
  <c r="AL415" i="12"/>
  <c r="AL412" i="12" s="1"/>
  <c r="AL411" i="12" s="1"/>
  <c r="AJ415" i="12"/>
  <c r="AJ412" i="12" s="1"/>
  <c r="AJ411" i="12" s="1"/>
  <c r="AI311" i="12"/>
  <c r="AI36" i="12" s="1"/>
  <c r="AS314" i="12"/>
  <c r="AE311" i="12"/>
  <c r="AE36" i="12" s="1"/>
  <c r="AF311" i="12"/>
  <c r="AF36" i="12" s="1"/>
  <c r="AD311" i="12"/>
  <c r="AD36" i="12" s="1"/>
  <c r="W311" i="12"/>
  <c r="W36" i="12" s="1"/>
  <c r="Z311" i="12"/>
  <c r="Z36" i="12" s="1"/>
  <c r="AR135" i="12"/>
  <c r="AB311" i="12"/>
  <c r="AB36" i="12" s="1"/>
  <c r="Y311" i="12"/>
  <c r="Y36" i="12" s="1"/>
  <c r="AC311" i="12"/>
  <c r="AC36" i="12" s="1"/>
  <c r="AS299" i="12"/>
  <c r="AS301" i="12"/>
  <c r="AS285" i="12"/>
  <c r="AJ271" i="12"/>
  <c r="AJ270" i="12" s="1"/>
  <c r="AJ268" i="12" s="1"/>
  <c r="AJ267" i="12" s="1"/>
  <c r="AJ32" i="12" s="1"/>
  <c r="AS91" i="12"/>
  <c r="C16" i="21"/>
  <c r="AC140" i="12"/>
  <c r="AC131" i="12" s="1"/>
  <c r="AC97" i="12" s="1"/>
  <c r="AR145" i="12"/>
  <c r="AL140" i="12"/>
  <c r="AJ140" i="12"/>
  <c r="AS456" i="12"/>
  <c r="C21" i="21"/>
  <c r="AS336" i="12"/>
  <c r="C23" i="21"/>
  <c r="AL335" i="12"/>
  <c r="AL334" i="12" s="1"/>
  <c r="AL328" i="12" s="1"/>
  <c r="AO427" i="12"/>
  <c r="AR466" i="12"/>
  <c r="AS479" i="12"/>
  <c r="AS482" i="12"/>
  <c r="AS437" i="12"/>
  <c r="AS444" i="12"/>
  <c r="AD461" i="12"/>
  <c r="AP36" i="12"/>
  <c r="K30" i="21" s="1"/>
  <c r="AJ320" i="12"/>
  <c r="AJ319" i="12" s="1"/>
  <c r="AJ354" i="12"/>
  <c r="AJ353" i="12" s="1"/>
  <c r="AA354" i="12"/>
  <c r="AP343" i="12"/>
  <c r="AP37" i="12" s="1"/>
  <c r="K31" i="21" s="1"/>
  <c r="AJ48" i="12"/>
  <c r="AJ17" i="12" s="1"/>
  <c r="AA254" i="12"/>
  <c r="AA30" i="12" s="1"/>
  <c r="AJ218" i="12"/>
  <c r="AJ71" i="12"/>
  <c r="AJ26" i="12" s="1"/>
  <c r="AS78" i="12"/>
  <c r="AS63" i="12"/>
  <c r="AS222" i="12"/>
  <c r="AS438" i="12"/>
  <c r="AE461" i="12"/>
  <c r="AR407" i="12"/>
  <c r="AS219" i="12"/>
  <c r="AH39" i="12"/>
  <c r="AE39" i="12"/>
  <c r="Y39" i="12"/>
  <c r="AR479" i="12"/>
  <c r="AR231" i="12"/>
  <c r="AB39" i="12"/>
  <c r="AC39" i="12"/>
  <c r="Z39" i="12"/>
  <c r="AM382" i="12"/>
  <c r="AM365" i="12" s="1"/>
  <c r="AM43" i="12" s="1"/>
  <c r="AF39" i="12"/>
  <c r="AD39" i="12"/>
  <c r="AK39" i="12"/>
  <c r="AI39" i="12"/>
  <c r="AS492" i="12"/>
  <c r="AB427" i="12"/>
  <c r="X39" i="12"/>
  <c r="W39" i="12"/>
  <c r="AR459" i="12"/>
  <c r="AL217" i="12"/>
  <c r="AR217" i="12" s="1"/>
  <c r="AR408" i="12"/>
  <c r="AL353" i="12"/>
  <c r="AR319" i="12"/>
  <c r="AS433" i="12"/>
  <c r="AS497" i="12"/>
  <c r="AS483" i="12"/>
  <c r="AL62" i="12"/>
  <c r="AL61" i="12" s="1"/>
  <c r="AS429" i="12"/>
  <c r="AR228" i="12"/>
  <c r="AC353" i="12"/>
  <c r="AL428" i="12"/>
  <c r="AR428" i="12" s="1"/>
  <c r="AS388" i="12"/>
  <c r="AS237" i="12"/>
  <c r="AK488" i="12"/>
  <c r="AK41" i="12" s="1"/>
  <c r="AD488" i="12"/>
  <c r="AD41" i="12" s="1"/>
  <c r="AA488" i="12"/>
  <c r="AA41" i="12" s="1"/>
  <c r="AC488" i="12"/>
  <c r="AC41" i="12" s="1"/>
  <c r="AM488" i="12"/>
  <c r="AM41" i="12" s="1"/>
  <c r="E35" i="21" s="1"/>
  <c r="Z488" i="12"/>
  <c r="Z41" i="12" s="1"/>
  <c r="AE488" i="12"/>
  <c r="AE41" i="12" s="1"/>
  <c r="Y488" i="12"/>
  <c r="Y41" i="12" s="1"/>
  <c r="AB488" i="12"/>
  <c r="AB41" i="12" s="1"/>
  <c r="W488" i="12"/>
  <c r="W41" i="12" s="1"/>
  <c r="AJ221" i="12"/>
  <c r="W382" i="12"/>
  <c r="W365" i="12" s="1"/>
  <c r="W43" i="12" s="1"/>
  <c r="AI382" i="12"/>
  <c r="AI365" i="12" s="1"/>
  <c r="AI43" i="12" s="1"/>
  <c r="AR445" i="12"/>
  <c r="AL234" i="12"/>
  <c r="AL28" i="12" s="1"/>
  <c r="AS28" i="12" s="1"/>
  <c r="AJ394" i="12"/>
  <c r="AR368" i="12"/>
  <c r="AS472" i="12"/>
  <c r="AR472" i="12"/>
  <c r="K131" i="12"/>
  <c r="AR313" i="12"/>
  <c r="AS443" i="12"/>
  <c r="AR338" i="12"/>
  <c r="AJ443" i="12"/>
  <c r="AJ435" i="12" s="1"/>
  <c r="AJ476" i="12"/>
  <c r="AH382" i="12"/>
  <c r="AH365" i="12" s="1"/>
  <c r="AH43" i="12" s="1"/>
  <c r="AS85" i="12"/>
  <c r="AK48" i="12"/>
  <c r="AK17" i="12" s="1"/>
  <c r="AJ236" i="12"/>
  <c r="AJ235" i="12" s="1"/>
  <c r="AJ234" i="12" s="1"/>
  <c r="AJ28" i="12" s="1"/>
  <c r="AA242" i="12"/>
  <c r="AA29" i="12" s="1"/>
  <c r="AL17" i="12"/>
  <c r="AS249" i="12"/>
  <c r="AS137" i="12"/>
  <c r="AD427" i="12"/>
  <c r="AR244" i="12"/>
  <c r="AS494" i="12"/>
  <c r="AL491" i="12"/>
  <c r="AL490" i="12" s="1"/>
  <c r="AR120" i="12"/>
  <c r="AR320" i="12"/>
  <c r="L365" i="12"/>
  <c r="M365" i="12"/>
  <c r="M343" i="12" s="1"/>
  <c r="AR67" i="12"/>
  <c r="AJ428" i="12"/>
  <c r="X461" i="12"/>
  <c r="AS67" i="12"/>
  <c r="AR137" i="12"/>
  <c r="AA427" i="12"/>
  <c r="AJ60" i="12"/>
  <c r="AJ25" i="12" s="1"/>
  <c r="AR236" i="12"/>
  <c r="AR456" i="12"/>
  <c r="AS69" i="12"/>
  <c r="AS220" i="12"/>
  <c r="AS258" i="12"/>
  <c r="C25" i="21"/>
  <c r="AR109" i="12"/>
  <c r="AJ242" i="12"/>
  <c r="AJ29" i="12" s="1"/>
  <c r="W461" i="12"/>
  <c r="AA360" i="12"/>
  <c r="AR360" i="12" s="1"/>
  <c r="AS481" i="12"/>
  <c r="AC382" i="12"/>
  <c r="AC365" i="12" s="1"/>
  <c r="AC43" i="12" s="1"/>
  <c r="AR312" i="12"/>
  <c r="AR198" i="12"/>
  <c r="K365" i="12"/>
  <c r="K343" i="12" s="1"/>
  <c r="AE382" i="12"/>
  <c r="AE365" i="12" s="1"/>
  <c r="AE43" i="12" s="1"/>
  <c r="AM131" i="12"/>
  <c r="AK461" i="12"/>
  <c r="AK427" i="12"/>
  <c r="AE131" i="12"/>
  <c r="AI132" i="12"/>
  <c r="AS454" i="12"/>
  <c r="AS251" i="12"/>
  <c r="K427" i="12"/>
  <c r="L427" i="12"/>
  <c r="Z131" i="12"/>
  <c r="Y382" i="12"/>
  <c r="Y365" i="12" s="1"/>
  <c r="Y43" i="12" s="1"/>
  <c r="L461" i="12"/>
  <c r="AM427" i="12"/>
  <c r="AR243" i="12"/>
  <c r="AR64" i="12"/>
  <c r="AS176" i="12"/>
  <c r="AR48" i="12"/>
  <c r="AS109" i="12"/>
  <c r="AS257" i="12"/>
  <c r="AF382" i="12"/>
  <c r="AF365" i="12" s="1"/>
  <c r="AF343" i="12" s="1"/>
  <c r="AF37" i="12" s="1"/>
  <c r="AR190" i="12"/>
  <c r="AS157" i="12"/>
  <c r="AJ383" i="12"/>
  <c r="AJ382" i="12" s="1"/>
  <c r="Y131" i="12"/>
  <c r="AR124" i="12"/>
  <c r="AO131" i="12"/>
  <c r="AB461" i="12"/>
  <c r="AS259" i="12"/>
  <c r="AN427" i="12"/>
  <c r="AR106" i="12"/>
  <c r="AR56" i="12"/>
  <c r="AS56" i="12"/>
  <c r="AC427" i="12"/>
  <c r="AL242" i="12"/>
  <c r="AL29" i="12" s="1"/>
  <c r="AF131" i="12"/>
  <c r="AF82" i="12" s="1"/>
  <c r="AF27" i="12" s="1"/>
  <c r="M461" i="12"/>
  <c r="W131" i="12"/>
  <c r="W82" i="12" s="1"/>
  <c r="W27" i="12" s="1"/>
  <c r="AB131" i="12"/>
  <c r="AR248" i="12"/>
  <c r="AJ83" i="12"/>
  <c r="AA382" i="12"/>
  <c r="AL383" i="12"/>
  <c r="Y461" i="12"/>
  <c r="Y427" i="12"/>
  <c r="L131" i="12"/>
  <c r="W427" i="12"/>
  <c r="AN131" i="12"/>
  <c r="AR247" i="12"/>
  <c r="AC461" i="12"/>
  <c r="AH131" i="12"/>
  <c r="AS77" i="12"/>
  <c r="AD131" i="12"/>
  <c r="Z427" i="12"/>
  <c r="AR152" i="12"/>
  <c r="AK131" i="12"/>
  <c r="AS124" i="12"/>
  <c r="AB382" i="12"/>
  <c r="AB365" i="12" s="1"/>
  <c r="AB43" i="12" s="1"/>
  <c r="Z461" i="12"/>
  <c r="AI427" i="12"/>
  <c r="AR257" i="12"/>
  <c r="AL256" i="12"/>
  <c r="AR31" i="12"/>
  <c r="AS152" i="12"/>
  <c r="AR262" i="12"/>
  <c r="AS190" i="12"/>
  <c r="X131" i="12"/>
  <c r="AR291" i="12"/>
  <c r="AR38" i="12"/>
  <c r="AF427" i="12"/>
  <c r="AJ335" i="12"/>
  <c r="AJ334" i="12" s="1"/>
  <c r="AJ328" i="12" s="1"/>
  <c r="AS163" i="12"/>
  <c r="AS68" i="12"/>
  <c r="K461" i="12"/>
  <c r="AE427" i="12"/>
  <c r="AR406" i="12"/>
  <c r="AS188" i="12"/>
  <c r="X427" i="12"/>
  <c r="M427" i="12"/>
  <c r="AH427" i="12"/>
  <c r="AK382" i="12"/>
  <c r="AL76" i="12"/>
  <c r="AR77" i="12"/>
  <c r="AJ491" i="12"/>
  <c r="AJ490" i="12" s="1"/>
  <c r="AJ489" i="12" s="1"/>
  <c r="AJ488" i="12" s="1"/>
  <c r="AD382" i="12"/>
  <c r="AD365" i="12" s="1"/>
  <c r="AD43" i="12" s="1"/>
  <c r="AI461" i="12"/>
  <c r="AA461" i="12"/>
  <c r="AS315" i="12"/>
  <c r="AN382" i="12"/>
  <c r="AN365" i="12" s="1"/>
  <c r="AN43" i="12" s="1"/>
  <c r="M131" i="12"/>
  <c r="AH461" i="12"/>
  <c r="AS446" i="12"/>
  <c r="AS445" i="12"/>
  <c r="X382" i="12"/>
  <c r="X365" i="12" s="1"/>
  <c r="X43" i="12" s="1"/>
  <c r="AS398" i="12"/>
  <c r="AR141" i="12"/>
  <c r="AR89" i="12"/>
  <c r="AS460" i="12"/>
  <c r="AJ344" i="12"/>
  <c r="AS89" i="12"/>
  <c r="AR218" i="12"/>
  <c r="AS391" i="12"/>
  <c r="AR100" i="12"/>
  <c r="Z382" i="12"/>
  <c r="Z365" i="12" s="1"/>
  <c r="Z343" i="12" s="1"/>
  <c r="Z37" i="12" s="1"/>
  <c r="AS265" i="12"/>
  <c r="AA131" i="12"/>
  <c r="AS232" i="12"/>
  <c r="AM25" i="12"/>
  <c r="AS339" i="12"/>
  <c r="AS84" i="12"/>
  <c r="Y25" i="12"/>
  <c r="AS198" i="12"/>
  <c r="AS373" i="12"/>
  <c r="AS374" i="12"/>
  <c r="AI353" i="12"/>
  <c r="AS229" i="12"/>
  <c r="AS141" i="12"/>
  <c r="C27" i="21"/>
  <c r="AS264" i="12"/>
  <c r="AS223" i="12"/>
  <c r="AS432" i="12"/>
  <c r="AS302" i="12"/>
  <c r="AD25" i="12"/>
  <c r="AS397" i="12"/>
  <c r="I24" i="21"/>
  <c r="AR396" i="12"/>
  <c r="AS369" i="12"/>
  <c r="AS170" i="12"/>
  <c r="AS504" i="12"/>
  <c r="AL476" i="12"/>
  <c r="AS477" i="12"/>
  <c r="AR477" i="12"/>
  <c r="AS356" i="12"/>
  <c r="AF461" i="12"/>
  <c r="AA448" i="12"/>
  <c r="AA311" i="12"/>
  <c r="AS64" i="12"/>
  <c r="AS322" i="12"/>
  <c r="AS245" i="12"/>
  <c r="AR418" i="12"/>
  <c r="AS418" i="12"/>
  <c r="AF234" i="12"/>
  <c r="AR235" i="12"/>
  <c r="AR66" i="12"/>
  <c r="AI60" i="12"/>
  <c r="E20" i="21" l="1"/>
  <c r="J25" i="12"/>
  <c r="J18" i="12" s="1"/>
  <c r="J15" i="12" s="1"/>
  <c r="J59" i="12"/>
  <c r="H60" i="12"/>
  <c r="AL71" i="12"/>
  <c r="AM97" i="12"/>
  <c r="AM82" i="12" s="1"/>
  <c r="AN97" i="12"/>
  <c r="AN82" i="12" s="1"/>
  <c r="AN27" i="12" s="1"/>
  <c r="G22" i="21" s="1"/>
  <c r="C22" i="21" s="1"/>
  <c r="AO426" i="12"/>
  <c r="AO425" i="12" s="1"/>
  <c r="D365" i="12"/>
  <c r="D343" i="12" s="1"/>
  <c r="D37" i="12" s="1"/>
  <c r="AL131" i="12"/>
  <c r="AR132" i="12"/>
  <c r="AS436" i="12"/>
  <c r="AS435" i="12"/>
  <c r="AS390" i="12"/>
  <c r="AS389" i="12"/>
  <c r="AJ311" i="12"/>
  <c r="AJ36" i="12" s="1"/>
  <c r="AA36" i="12"/>
  <c r="AL311" i="12"/>
  <c r="AL36" i="12" s="1"/>
  <c r="AS36" i="12" s="1"/>
  <c r="AF43" i="12"/>
  <c r="AD97" i="12"/>
  <c r="AD82" i="12" s="1"/>
  <c r="AD27" i="12" s="1"/>
  <c r="AB97" i="12"/>
  <c r="AB82" i="12" s="1"/>
  <c r="AB27" i="12" s="1"/>
  <c r="Z97" i="12"/>
  <c r="Z82" i="12" s="1"/>
  <c r="Z27" i="12" s="1"/>
  <c r="AE97" i="12"/>
  <c r="AE82" i="12" s="1"/>
  <c r="AE27" i="12" s="1"/>
  <c r="AH97" i="12"/>
  <c r="AH82" i="12" s="1"/>
  <c r="AH27" i="12" s="1"/>
  <c r="X97" i="12"/>
  <c r="X82" i="12" s="1"/>
  <c r="Z43" i="12"/>
  <c r="AS313" i="12"/>
  <c r="AS17" i="12"/>
  <c r="AS145" i="12"/>
  <c r="AS140" i="12"/>
  <c r="AO97" i="12"/>
  <c r="AO82" i="12" s="1"/>
  <c r="AR334" i="12"/>
  <c r="AR335" i="12"/>
  <c r="C35" i="21"/>
  <c r="K17" i="21"/>
  <c r="K14" i="21" s="1"/>
  <c r="AS466" i="12"/>
  <c r="AS462" i="12"/>
  <c r="AS453" i="12"/>
  <c r="AD426" i="12"/>
  <c r="AD425" i="12" s="1"/>
  <c r="AD40" i="12" s="1"/>
  <c r="AP18" i="12"/>
  <c r="AP59" i="12"/>
  <c r="AS354" i="12"/>
  <c r="L343" i="12"/>
  <c r="L37" i="12" s="1"/>
  <c r="G18" i="21"/>
  <c r="E18" i="21"/>
  <c r="AJ217" i="12"/>
  <c r="AS217" i="12"/>
  <c r="AB426" i="12"/>
  <c r="AB425" i="12" s="1"/>
  <c r="AB40" i="12" s="1"/>
  <c r="AS408" i="12"/>
  <c r="AE426" i="12"/>
  <c r="AE425" i="12" s="1"/>
  <c r="AE40" i="12" s="1"/>
  <c r="AJ39" i="12"/>
  <c r="AM39" i="12"/>
  <c r="E33" i="21" s="1"/>
  <c r="AS236" i="12"/>
  <c r="AL382" i="12"/>
  <c r="AR382" i="12" s="1"/>
  <c r="AR62" i="12"/>
  <c r="W426" i="12"/>
  <c r="W425" i="12" s="1"/>
  <c r="W40" i="12" s="1"/>
  <c r="C30" i="21"/>
  <c r="AE343" i="12"/>
  <c r="AE37" i="12" s="1"/>
  <c r="AL427" i="12"/>
  <c r="AR427" i="12" s="1"/>
  <c r="AK82" i="12"/>
  <c r="AK27" i="12" s="1"/>
  <c r="K97" i="12"/>
  <c r="K82" i="12" s="1"/>
  <c r="K27" i="12" s="1"/>
  <c r="AA353" i="12"/>
  <c r="AR353" i="12" s="1"/>
  <c r="AR491" i="12"/>
  <c r="AK365" i="12"/>
  <c r="AK43" i="12" s="1"/>
  <c r="AJ461" i="12"/>
  <c r="AR17" i="12"/>
  <c r="AS358" i="12"/>
  <c r="AJ132" i="12"/>
  <c r="AJ131" i="12" s="1"/>
  <c r="AR449" i="12"/>
  <c r="AR448" i="12"/>
  <c r="X426" i="12"/>
  <c r="X425" i="12" s="1"/>
  <c r="AJ427" i="12"/>
  <c r="AI131" i="12"/>
  <c r="AS415" i="12"/>
  <c r="Y343" i="12"/>
  <c r="Y37" i="12" s="1"/>
  <c r="K37" i="12"/>
  <c r="M37" i="12"/>
  <c r="AM343" i="12"/>
  <c r="AM37" i="12" s="1"/>
  <c r="E31" i="21" s="1"/>
  <c r="AK426" i="12"/>
  <c r="AK425" i="12" s="1"/>
  <c r="AK40" i="12" s="1"/>
  <c r="AS385" i="12"/>
  <c r="M97" i="12"/>
  <c r="M82" i="12" s="1"/>
  <c r="M27" i="12" s="1"/>
  <c r="AS449" i="12"/>
  <c r="AN426" i="12"/>
  <c r="AN425" i="12" s="1"/>
  <c r="AN40" i="12" s="1"/>
  <c r="G34" i="21" s="1"/>
  <c r="AR242" i="12"/>
  <c r="AM426" i="12"/>
  <c r="AM425" i="12" s="1"/>
  <c r="AM40" i="12" s="1"/>
  <c r="E34" i="21" s="1"/>
  <c r="L426" i="12"/>
  <c r="L425" i="12" s="1"/>
  <c r="L40" i="12" s="1"/>
  <c r="AO343" i="12"/>
  <c r="AO37" i="12" s="1"/>
  <c r="I31" i="21" s="1"/>
  <c r="I17" i="21" s="1"/>
  <c r="I14" i="21" s="1"/>
  <c r="J20" i="21" s="1"/>
  <c r="I18" i="21"/>
  <c r="AC343" i="12"/>
  <c r="AC37" i="12" s="1"/>
  <c r="AD343" i="12"/>
  <c r="AD37" i="12" s="1"/>
  <c r="K426" i="12"/>
  <c r="K425" i="12" s="1"/>
  <c r="K40" i="12" s="1"/>
  <c r="AS476" i="12"/>
  <c r="AR367" i="12"/>
  <c r="AH426" i="12"/>
  <c r="AH425" i="12" s="1"/>
  <c r="AH40" i="12" s="1"/>
  <c r="L97" i="12"/>
  <c r="L82" i="12" s="1"/>
  <c r="L27" i="12" s="1"/>
  <c r="AH343" i="12"/>
  <c r="AH37" i="12" s="1"/>
  <c r="Y426" i="12"/>
  <c r="Y425" i="12" s="1"/>
  <c r="Y40" i="12" s="1"/>
  <c r="Y82" i="12"/>
  <c r="Y27" i="12" s="1"/>
  <c r="AR32" i="12"/>
  <c r="AR267" i="12"/>
  <c r="AJ365" i="12"/>
  <c r="AJ43" i="12" s="1"/>
  <c r="AS360" i="12"/>
  <c r="AS361" i="12"/>
  <c r="AB343" i="12"/>
  <c r="AB37" i="12" s="1"/>
  <c r="AI426" i="12"/>
  <c r="AI425" i="12" s="1"/>
  <c r="AI40" i="12" s="1"/>
  <c r="AI343" i="12"/>
  <c r="AI37" i="12" s="1"/>
  <c r="AS359" i="12"/>
  <c r="AC82" i="12"/>
  <c r="AC27" i="12" s="1"/>
  <c r="Z426" i="12"/>
  <c r="Z425" i="12" s="1"/>
  <c r="Z40" i="12" s="1"/>
  <c r="AC426" i="12"/>
  <c r="AC425" i="12" s="1"/>
  <c r="AC40" i="12" s="1"/>
  <c r="AR354" i="12"/>
  <c r="AR383" i="12"/>
  <c r="M426" i="12"/>
  <c r="M425" i="12" s="1"/>
  <c r="M40" i="12" s="1"/>
  <c r="AR99" i="12"/>
  <c r="AR140" i="12"/>
  <c r="W343" i="12"/>
  <c r="W37" i="12" s="1"/>
  <c r="AS491" i="12"/>
  <c r="AR256" i="12"/>
  <c r="AL255" i="12"/>
  <c r="AS108" i="12"/>
  <c r="AS106" i="12"/>
  <c r="D82" i="12"/>
  <c r="D27" i="12" s="1"/>
  <c r="AS248" i="12"/>
  <c r="AS247" i="12"/>
  <c r="AS256" i="12"/>
  <c r="AN343" i="12"/>
  <c r="AN37" i="12" s="1"/>
  <c r="AS88" i="12"/>
  <c r="X343" i="12"/>
  <c r="X37" i="12" s="1"/>
  <c r="X18" i="12" s="1"/>
  <c r="AS134" i="12"/>
  <c r="AR76" i="12"/>
  <c r="AS76" i="12"/>
  <c r="AS101" i="12"/>
  <c r="AS459" i="12"/>
  <c r="AS230" i="12"/>
  <c r="AS231" i="12"/>
  <c r="AR88" i="12"/>
  <c r="AL83" i="12"/>
  <c r="AS407" i="12"/>
  <c r="AF28" i="12"/>
  <c r="AR28" i="12" s="1"/>
  <c r="AR234" i="12"/>
  <c r="AS244" i="12"/>
  <c r="AR366" i="12"/>
  <c r="AL489" i="12"/>
  <c r="AR490" i="12"/>
  <c r="AR476" i="12"/>
  <c r="AL461" i="12"/>
  <c r="AS503" i="12"/>
  <c r="AS490" i="12"/>
  <c r="AA394" i="12"/>
  <c r="AR395" i="12"/>
  <c r="AS62" i="12"/>
  <c r="AR98" i="12"/>
  <c r="AA39" i="12"/>
  <c r="C24" i="21"/>
  <c r="AR328" i="12"/>
  <c r="AS29" i="12"/>
  <c r="AR29" i="12"/>
  <c r="AI25" i="12"/>
  <c r="AA426" i="12"/>
  <c r="AS368" i="12"/>
  <c r="AS431" i="12"/>
  <c r="AS218" i="12"/>
  <c r="AS263" i="12"/>
  <c r="AS227" i="12"/>
  <c r="AS228" i="12"/>
  <c r="AF426" i="12"/>
  <c r="AF425" i="12" s="1"/>
  <c r="AS290" i="12"/>
  <c r="AS291" i="12"/>
  <c r="AR415" i="12"/>
  <c r="AS320" i="12"/>
  <c r="AS319" i="12"/>
  <c r="AS235" i="12"/>
  <c r="AL60" i="12"/>
  <c r="AR60" i="12" s="1"/>
  <c r="AR61" i="12"/>
  <c r="AS396" i="12"/>
  <c r="AS338" i="12"/>
  <c r="AA344" i="12"/>
  <c r="AR345" i="12"/>
  <c r="AO18" i="12" l="1"/>
  <c r="AO15" i="12" s="1"/>
  <c r="AO13" i="12" s="1"/>
  <c r="H59" i="12"/>
  <c r="H25" i="12"/>
  <c r="H18" i="12" s="1"/>
  <c r="H15" i="12" s="1"/>
  <c r="AL97" i="12"/>
  <c r="AR131" i="12"/>
  <c r="Z18" i="12"/>
  <c r="Z15" i="12" s="1"/>
  <c r="AP15" i="12"/>
  <c r="AP13" i="12" s="1"/>
  <c r="AS100" i="12"/>
  <c r="K13" i="21"/>
  <c r="L24" i="21"/>
  <c r="C33" i="21"/>
  <c r="L30" i="21"/>
  <c r="L31" i="21"/>
  <c r="AD18" i="12"/>
  <c r="AD15" i="12" s="1"/>
  <c r="AK343" i="12"/>
  <c r="AK37" i="12" s="1"/>
  <c r="AK18" i="12" s="1"/>
  <c r="AK15" i="12" s="1"/>
  <c r="C18" i="21"/>
  <c r="AB18" i="12"/>
  <c r="AB15" i="12" s="1"/>
  <c r="L18" i="12"/>
  <c r="L15" i="12" s="1"/>
  <c r="AE18" i="12"/>
  <c r="AE15" i="12" s="1"/>
  <c r="K59" i="12"/>
  <c r="M18" i="12"/>
  <c r="M15" i="12" s="1"/>
  <c r="AL82" i="12"/>
  <c r="AL27" i="12" s="1"/>
  <c r="AS27" i="12" s="1"/>
  <c r="L59" i="12"/>
  <c r="K18" i="12"/>
  <c r="K15" i="12" s="1"/>
  <c r="D59" i="12"/>
  <c r="M59" i="12"/>
  <c r="AL365" i="12"/>
  <c r="AL43" i="12" s="1"/>
  <c r="AS384" i="12"/>
  <c r="W18" i="12"/>
  <c r="W15" i="12" s="1"/>
  <c r="AL426" i="12"/>
  <c r="AL425" i="12" s="1"/>
  <c r="AL40" i="12" s="1"/>
  <c r="AS40" i="12" s="1"/>
  <c r="AE59" i="12"/>
  <c r="AS489" i="12"/>
  <c r="AL488" i="12"/>
  <c r="AS488" i="12" s="1"/>
  <c r="AR83" i="12"/>
  <c r="AJ426" i="12"/>
  <c r="AJ425" i="12" s="1"/>
  <c r="AJ40" i="12" s="1"/>
  <c r="AJ343" i="12"/>
  <c r="AJ37" i="12" s="1"/>
  <c r="AN18" i="12"/>
  <c r="AO59" i="12"/>
  <c r="AI82" i="12"/>
  <c r="AI27" i="12" s="1"/>
  <c r="AI18" i="12" s="1"/>
  <c r="AI15" i="12" s="1"/>
  <c r="AS353" i="12"/>
  <c r="AJ82" i="12"/>
  <c r="AJ27" i="12" s="1"/>
  <c r="C34" i="21"/>
  <c r="Y18" i="12"/>
  <c r="Y15" i="12" s="1"/>
  <c r="AS461" i="12"/>
  <c r="AH18" i="12"/>
  <c r="AH15" i="12" s="1"/>
  <c r="AH59" i="12"/>
  <c r="Y59" i="12"/>
  <c r="AD59" i="12"/>
  <c r="Z59" i="12"/>
  <c r="AB59" i="12"/>
  <c r="W59" i="12"/>
  <c r="AC59" i="12"/>
  <c r="AC18" i="12"/>
  <c r="AC15" i="12" s="1"/>
  <c r="AN59" i="12"/>
  <c r="AL254" i="12"/>
  <c r="AR255" i="12"/>
  <c r="J36" i="21"/>
  <c r="X59" i="12"/>
  <c r="I13" i="21"/>
  <c r="AS255" i="12"/>
  <c r="AL26" i="12"/>
  <c r="AR71" i="12"/>
  <c r="AS71" i="12"/>
  <c r="J30" i="21"/>
  <c r="AS133" i="12"/>
  <c r="J31" i="21"/>
  <c r="G31" i="21"/>
  <c r="C31" i="21" s="1"/>
  <c r="J32" i="21"/>
  <c r="J24" i="21"/>
  <c r="J33" i="21"/>
  <c r="AS83" i="12"/>
  <c r="AS458" i="12"/>
  <c r="AS448" i="12"/>
  <c r="J28" i="21"/>
  <c r="AR412" i="12"/>
  <c r="AS412" i="12"/>
  <c r="AS406" i="12"/>
  <c r="AS367" i="12"/>
  <c r="AR36" i="12"/>
  <c r="AR311" i="12"/>
  <c r="AS234" i="12"/>
  <c r="AS312" i="12"/>
  <c r="AS262" i="12"/>
  <c r="AR344" i="12"/>
  <c r="AA82" i="12"/>
  <c r="C20" i="21"/>
  <c r="AR394" i="12"/>
  <c r="AA365" i="12"/>
  <c r="AA43" i="12" s="1"/>
  <c r="AS382" i="12"/>
  <c r="AS383" i="12"/>
  <c r="AS345" i="12"/>
  <c r="AR461" i="12"/>
  <c r="AS120" i="12"/>
  <c r="AS335" i="12"/>
  <c r="AF40" i="12"/>
  <c r="AF18" i="12" s="1"/>
  <c r="AF15" i="12" s="1"/>
  <c r="AF59" i="12"/>
  <c r="AS428" i="12"/>
  <c r="AS394" i="12"/>
  <c r="AS395" i="12"/>
  <c r="AS61" i="12"/>
  <c r="AS243" i="12"/>
  <c r="AS60" i="12"/>
  <c r="AL25" i="12"/>
  <c r="AA425" i="12"/>
  <c r="AR489" i="12"/>
  <c r="AN15" i="12" l="1"/>
  <c r="AN13" i="12" s="1"/>
  <c r="L17" i="21"/>
  <c r="L14" i="21" s="1"/>
  <c r="AK59" i="12"/>
  <c r="AA343" i="12"/>
  <c r="AA59" i="12" s="1"/>
  <c r="AS43" i="12"/>
  <c r="D18" i="12"/>
  <c r="D15" i="12" s="1"/>
  <c r="AL343" i="12"/>
  <c r="AL37" i="12" s="1"/>
  <c r="AS37" i="12" s="1"/>
  <c r="AR426" i="12"/>
  <c r="AR97" i="12"/>
  <c r="AJ59" i="12"/>
  <c r="AJ18" i="12"/>
  <c r="AJ15" i="12" s="1"/>
  <c r="AI59" i="12"/>
  <c r="G17" i="21"/>
  <c r="G14" i="21" s="1"/>
  <c r="H31" i="21" s="1"/>
  <c r="AL30" i="12"/>
  <c r="AR254" i="12"/>
  <c r="J17" i="21"/>
  <c r="J14" i="21" s="1"/>
  <c r="AS254" i="12"/>
  <c r="AR26" i="12"/>
  <c r="AS26" i="12"/>
  <c r="AS132" i="12"/>
  <c r="AS131" i="12"/>
  <c r="AS334" i="12"/>
  <c r="AL39" i="12"/>
  <c r="AS411" i="12"/>
  <c r="AR411" i="12"/>
  <c r="AS99" i="12"/>
  <c r="AS366" i="12"/>
  <c r="AR488" i="12"/>
  <c r="AL41" i="12"/>
  <c r="AS242" i="12"/>
  <c r="AS267" i="12"/>
  <c r="AS427" i="12"/>
  <c r="AA40" i="12"/>
  <c r="AR40" i="12" s="1"/>
  <c r="AR425" i="12"/>
  <c r="AS344" i="12"/>
  <c r="AS25" i="12"/>
  <c r="AA27" i="12"/>
  <c r="AR82" i="12"/>
  <c r="AR25" i="12"/>
  <c r="AR365" i="12"/>
  <c r="AL14" i="12" l="1"/>
  <c r="AR14" i="12" s="1"/>
  <c r="AA37" i="12"/>
  <c r="AR37" i="12" s="1"/>
  <c r="AR43" i="12"/>
  <c r="AS343" i="12"/>
  <c r="AR343" i="12"/>
  <c r="H28" i="21"/>
  <c r="H33" i="21"/>
  <c r="H27" i="21"/>
  <c r="H24" i="21"/>
  <c r="H22" i="21"/>
  <c r="H30" i="21"/>
  <c r="H32" i="21"/>
  <c r="G13" i="21"/>
  <c r="H25" i="21"/>
  <c r="H16" i="21"/>
  <c r="H34" i="21"/>
  <c r="H36" i="21"/>
  <c r="AS30" i="12"/>
  <c r="AR30" i="12"/>
  <c r="AS98" i="12"/>
  <c r="AR27" i="12"/>
  <c r="AS426" i="12"/>
  <c r="AS328" i="12"/>
  <c r="AS365" i="12"/>
  <c r="AS41" i="12"/>
  <c r="AR41" i="12"/>
  <c r="AS39" i="12"/>
  <c r="AR39" i="12"/>
  <c r="AA18" i="12" l="1"/>
  <c r="AA15" i="12" s="1"/>
  <c r="H17" i="21"/>
  <c r="H14" i="21" s="1"/>
  <c r="AS425" i="12"/>
  <c r="AS311" i="12"/>
  <c r="AS97" i="12"/>
  <c r="AS82" i="12" l="1"/>
  <c r="AM308" i="12"/>
  <c r="AM307" i="12" s="1"/>
  <c r="AL309" i="12"/>
  <c r="F309" i="12" l="1"/>
  <c r="F308" i="12" s="1"/>
  <c r="F307" i="12" s="1"/>
  <c r="AM306" i="12"/>
  <c r="AM305" i="12" s="1"/>
  <c r="AM59" i="12" s="1"/>
  <c r="AL308" i="12"/>
  <c r="AL307" i="12" s="1"/>
  <c r="AM34" i="12" l="1"/>
  <c r="AM18" i="12" s="1"/>
  <c r="AM15" i="12" s="1"/>
  <c r="F306" i="12"/>
  <c r="AL306" i="12"/>
  <c r="AL305" i="12" s="1"/>
  <c r="AL59" i="12" s="1"/>
  <c r="AR59" i="12" s="1"/>
  <c r="E28" i="21" l="1"/>
  <c r="E17" i="21" s="1"/>
  <c r="F34" i="12"/>
  <c r="F18" i="12" s="1"/>
  <c r="F15" i="12" s="1"/>
  <c r="F305" i="12"/>
  <c r="F59" i="12" s="1"/>
  <c r="AS59" i="12"/>
  <c r="AL34" i="12"/>
  <c r="AM13" i="12"/>
  <c r="C28" i="21" l="1"/>
  <c r="AL18" i="12"/>
  <c r="AL15" i="12" s="1"/>
  <c r="E14" i="21"/>
  <c r="F15" i="21" s="1"/>
  <c r="C17" i="21"/>
  <c r="AS15" i="12" l="1"/>
  <c r="AR15" i="12"/>
  <c r="AL13" i="12"/>
  <c r="AR13" i="12" s="1"/>
  <c r="AS18" i="12"/>
  <c r="AR18" i="12"/>
  <c r="F36" i="21"/>
  <c r="F26" i="21"/>
  <c r="F23" i="21"/>
  <c r="F21" i="21"/>
  <c r="F30" i="21"/>
  <c r="F35" i="21"/>
  <c r="F34" i="21"/>
  <c r="F33" i="21"/>
  <c r="F20" i="21"/>
  <c r="F28" i="21"/>
  <c r="D29" i="21"/>
  <c r="C14" i="21"/>
  <c r="D15" i="21" s="1"/>
  <c r="F32" i="21"/>
  <c r="F25" i="21"/>
  <c r="E13" i="21"/>
  <c r="F37" i="21" s="1"/>
  <c r="F16" i="21"/>
  <c r="F27" i="21"/>
  <c r="F31" i="21"/>
  <c r="F17" i="21" l="1"/>
  <c r="F14" i="21" s="1"/>
  <c r="D30" i="21"/>
  <c r="D20" i="21"/>
  <c r="D28" i="21"/>
  <c r="D36" i="21"/>
  <c r="D27" i="21"/>
  <c r="D35" i="21"/>
  <c r="D26" i="21"/>
  <c r="D34" i="21"/>
  <c r="D25" i="21"/>
  <c r="D33" i="21"/>
  <c r="D24" i="21"/>
  <c r="D22" i="21"/>
  <c r="D32" i="21"/>
  <c r="D23" i="21"/>
  <c r="D31" i="21"/>
  <c r="D21" i="21"/>
  <c r="C13" i="21"/>
  <c r="D16" i="21"/>
  <c r="D17" i="21" l="1"/>
  <c r="D14" i="21" s="1"/>
</calcChain>
</file>

<file path=xl/comments1.xml><?xml version="1.0" encoding="utf-8"?>
<comments xmlns="http://schemas.openxmlformats.org/spreadsheetml/2006/main">
  <authors>
    <author>Administrator</author>
    <author>Admin</author>
  </authors>
  <commentList>
    <comment ref="AI361" authorId="0">
      <text>
        <r>
          <rPr>
            <b/>
            <sz val="9"/>
            <color indexed="81"/>
            <rFont val="Tahoma"/>
            <family val="2"/>
          </rPr>
          <t>Bao gồm 39,626 tỷ nguồn TT XKST</t>
        </r>
      </text>
    </comment>
    <comment ref="AI419" authorId="0">
      <text>
        <r>
          <rPr>
            <b/>
            <sz val="9"/>
            <color indexed="81"/>
            <rFont val="Tahoma"/>
            <family val="2"/>
          </rPr>
          <t>Administrator:</t>
        </r>
        <r>
          <rPr>
            <sz val="9"/>
            <color indexed="81"/>
            <rFont val="Tahoma"/>
            <family val="2"/>
          </rPr>
          <t xml:space="preserve">
Kể cả 1,366 tỷ đồng năm 2021 kéo dài sang năm 2022</t>
        </r>
      </text>
    </comment>
    <comment ref="C495" authorId="1">
      <text>
        <r>
          <rPr>
            <sz val="9"/>
            <color indexed="81"/>
            <rFont val="Tahoma"/>
            <family val="2"/>
          </rPr>
          <t xml:space="preserve">NS tỉnh hỗ trợ 5 tỷ
</t>
        </r>
      </text>
    </comment>
  </commentList>
</comments>
</file>

<file path=xl/sharedStrings.xml><?xml version="1.0" encoding="utf-8"?>
<sst xmlns="http://schemas.openxmlformats.org/spreadsheetml/2006/main" count="2289" uniqueCount="1066">
  <si>
    <t>TT</t>
  </si>
  <si>
    <t>Nội dung</t>
  </si>
  <si>
    <t>TỔNG SỐ</t>
  </si>
  <si>
    <t>A</t>
  </si>
  <si>
    <t>I</t>
  </si>
  <si>
    <t>Vốn cân đối ngân sách địa phương</t>
  </si>
  <si>
    <t>Vốn ngân sách tập trung</t>
  </si>
  <si>
    <t>- Tỉnh quản lý</t>
  </si>
  <si>
    <t>- Huyện quản lý</t>
  </si>
  <si>
    <t>Vốn xổ số kiến thiết</t>
  </si>
  <si>
    <t>II</t>
  </si>
  <si>
    <t>Vốn ngân sách Trung ương</t>
  </si>
  <si>
    <t>III</t>
  </si>
  <si>
    <t>B</t>
  </si>
  <si>
    <t>Nguồn thu sử dụng đất</t>
  </si>
  <si>
    <t>STT</t>
  </si>
  <si>
    <t>Danh mục đầu tư</t>
  </si>
  <si>
    <t>Năng lực thiết kế</t>
  </si>
  <si>
    <t>Thời gian KC-HT</t>
  </si>
  <si>
    <t>Quyết định đầu tư</t>
  </si>
  <si>
    <t>TMĐT</t>
  </si>
  <si>
    <t>Ghi chú</t>
  </si>
  <si>
    <t>Tổng số (tất cả các nguồn vốn)</t>
  </si>
  <si>
    <t>Trong đó:</t>
  </si>
  <si>
    <t>XSKT</t>
  </si>
  <si>
    <t>NSTW</t>
  </si>
  <si>
    <t>C</t>
  </si>
  <si>
    <t>Thực hiện dự án</t>
  </si>
  <si>
    <t>Bộ CHQS Tỉnh</t>
  </si>
  <si>
    <t>Công an Tỉnh</t>
  </si>
  <si>
    <t>Đoàn KTQP 959</t>
  </si>
  <si>
    <t>Công nghệ thông tin</t>
  </si>
  <si>
    <t>Sở TNMT</t>
  </si>
  <si>
    <t>Sở GDĐT</t>
  </si>
  <si>
    <t>Sở KHCN</t>
  </si>
  <si>
    <t>Sở Xây dựng</t>
  </si>
  <si>
    <t>Sở NN&amp;PTNT</t>
  </si>
  <si>
    <t>Giáo dục, đào tạo và giáo dục nghề nghiệp</t>
  </si>
  <si>
    <t>Giao thông</t>
  </si>
  <si>
    <t>Sở LĐTB&amp;XH</t>
  </si>
  <si>
    <t>Đài PT &amp; TH Đồng Tháp</t>
  </si>
  <si>
    <t>Địa điểm mở tài khoản</t>
  </si>
  <si>
    <t>Chủ đầu tư</t>
  </si>
  <si>
    <t>Mã số dự án</t>
  </si>
  <si>
    <t>Mã ngành kinh tế</t>
  </si>
  <si>
    <t>Số, ngày, tháng, năm</t>
  </si>
  <si>
    <t>Trong đó</t>
  </si>
  <si>
    <t>Kế hoạch</t>
  </si>
  <si>
    <t>Xổ số kiến thiết</t>
  </si>
  <si>
    <t>Nhiệm vụ chuẩn bị đầu tư</t>
  </si>
  <si>
    <t>a</t>
  </si>
  <si>
    <t>b</t>
  </si>
  <si>
    <t>c</t>
  </si>
  <si>
    <t>NSTT</t>
  </si>
  <si>
    <t>Đã có CTĐT</t>
  </si>
  <si>
    <t>chưa có</t>
  </si>
  <si>
    <t>Tổng cộng</t>
  </si>
  <si>
    <t>Quốc phòng</t>
  </si>
  <si>
    <t>An ninh và trật tự, an toàn xã hội</t>
  </si>
  <si>
    <t>Khoa học, công nghệ</t>
  </si>
  <si>
    <t>Khu công nghiệp và khu kinh tế</t>
  </si>
  <si>
    <t>Phát thanh truyền hình thông tấn</t>
  </si>
  <si>
    <t>Y tế, dân số và gia đình</t>
  </si>
  <si>
    <t>Nông nghiệp, lâm nghiệp, diêm nghiệp, thủy lợi và thủy sản</t>
  </si>
  <si>
    <t>Hoạt động của các cơ quan quản lý nhà nước, đơn vị sự nghiệp công lập, tổ chức chính trị và các tổ chức chính trị-xã hội</t>
  </si>
  <si>
    <t>Thể dục, thể thao</t>
  </si>
  <si>
    <t>Thanh toán chi phí tất toán công trình hoàn thành</t>
  </si>
  <si>
    <t>Theo Sở TC</t>
  </si>
  <si>
    <t>Kiểm tra</t>
  </si>
  <si>
    <t>Môi trường</t>
  </si>
  <si>
    <t>Ngân sách tập trung</t>
  </si>
  <si>
    <t>Ngân sách Trung ương</t>
  </si>
  <si>
    <t>2021-2025 (theo hướng dẫn x 5 năm)</t>
  </si>
  <si>
    <t>Tỷ lệ</t>
  </si>
  <si>
    <t>(*5)</t>
  </si>
  <si>
    <t>(*6,7)</t>
  </si>
  <si>
    <t>TỔNG CỘNG</t>
  </si>
  <si>
    <t>16-20 chuyển sang</t>
  </si>
  <si>
    <t>Cấp tỉnh quản lý</t>
  </si>
  <si>
    <t>Tổng số (*5)</t>
  </si>
  <si>
    <t>gđ 21-25</t>
  </si>
  <si>
    <t>gđ 16-20</t>
  </si>
  <si>
    <t>Cấp huyện quản lý</t>
  </si>
  <si>
    <t>Vốn từ nguồn thu tiền sử dụng đất</t>
  </si>
  <si>
    <t>Văn hóa</t>
  </si>
  <si>
    <t>Kinh tế</t>
  </si>
  <si>
    <t>10a</t>
  </si>
  <si>
    <t>10b</t>
  </si>
  <si>
    <t>10c</t>
  </si>
  <si>
    <t>10d</t>
  </si>
  <si>
    <t>Trong đó: bố trí Chương trình MTQG xây dựng nông thôn mới</t>
  </si>
  <si>
    <t>Cụ thể chi tiết:</t>
  </si>
  <si>
    <t>* Cụ thể chi tiết</t>
  </si>
  <si>
    <t>Đã Quyết định đầu tư</t>
  </si>
  <si>
    <t>Quyết định chủ trương đầu tư</t>
  </si>
  <si>
    <t>Trong đó: Vốn NSTW</t>
  </si>
  <si>
    <t>Lũy kế giải ngân từ khởi công đến hết năm 2020</t>
  </si>
  <si>
    <t>Giá trị giải ngân KH vốn năm 2021</t>
  </si>
  <si>
    <t>KH vốn năm 2022</t>
  </si>
  <si>
    <t>Giải ngân KH vốn năm 2022 đến thời điểm báo cáo</t>
  </si>
  <si>
    <t>Nhiệm vụ chuẩn bị đầu tư và Thanh toán chi phí tất toán công trình hoàn thành</t>
  </si>
  <si>
    <t>Các hoạt động kinh tế</t>
  </si>
  <si>
    <t>Công trình công cộng tại các đô thị, hạ tầng kỹ thuật khu đô thị mới</t>
  </si>
  <si>
    <t>Xã hội</t>
  </si>
  <si>
    <t>d</t>
  </si>
  <si>
    <t>e</t>
  </si>
  <si>
    <t>a.1</t>
  </si>
  <si>
    <t>Dự án nhóm B</t>
  </si>
  <si>
    <t>HTM</t>
  </si>
  <si>
    <t>KBNN ĐT</t>
  </si>
  <si>
    <t>BQLDA ĐTXDCT DD&amp;CN Tỉnh</t>
  </si>
  <si>
    <t>TPCL</t>
  </si>
  <si>
    <t>hệ thống mạng lưu trữ; thiết bị, phim trường</t>
  </si>
  <si>
    <t>2022-2025</t>
  </si>
  <si>
    <t>2021-2023</t>
  </si>
  <si>
    <t>2022-2024</t>
  </si>
  <si>
    <t>2022-2023</t>
  </si>
  <si>
    <t>IV</t>
  </si>
  <si>
    <t>a.1.1</t>
  </si>
  <si>
    <t>Dự án nhóm C</t>
  </si>
  <si>
    <t>Các dự án khởi công mới năm 2023</t>
  </si>
  <si>
    <t>b.1</t>
  </si>
  <si>
    <t>1652/QĐ-UBND.HC ngày 30/11/2021 của UBND huyện</t>
  </si>
  <si>
    <t>2004/QĐ-UBND-HC ngày 21/10/2021 của UBND huyện</t>
  </si>
  <si>
    <t>1759/QĐ-UBND-HC ngày 18/12/2020 của UBND huyện</t>
  </si>
  <si>
    <t>1760/QĐ-UBND-HC ngày 18/12/2020 của UBND huyện</t>
  </si>
  <si>
    <t>1812/QĐ-UBND-HC ngày 18/12/2020 của UBND huyện</t>
  </si>
  <si>
    <t>2036/QĐ-UBND-HC  ngày 01/11/2021 của UBND huyện</t>
  </si>
  <si>
    <t>2033/QĐ-UBND-HC  ngày 01/11/2021 của UBND huyện</t>
  </si>
  <si>
    <t>1093/QĐ-UBND-HC ngày 05/8/2021 của UBND huyện</t>
  </si>
  <si>
    <t>2424/QĐ-UBND-HC ngày 24/12/2021 của UBND huyện</t>
  </si>
  <si>
    <t>Tỉnh Đồng Tháp</t>
  </si>
  <si>
    <t>Sở TT&amp;TT</t>
  </si>
  <si>
    <t>2021-2024</t>
  </si>
  <si>
    <t>949/QĐ-UBND-HC ngày 14/07/2021</t>
  </si>
  <si>
    <t>a.2</t>
  </si>
  <si>
    <t>HCL</t>
  </si>
  <si>
    <t>Thiết bị, phần mềm, đào tạo</t>
  </si>
  <si>
    <t>331/QĐ-UBND-HC ngày 22/03/2021</t>
  </si>
  <si>
    <t>HLVò</t>
  </si>
  <si>
    <t>332/QĐ-UBND-HC ngày 22/03/2021</t>
  </si>
  <si>
    <t>HLVung</t>
  </si>
  <si>
    <t>330/QĐ-UBND-HC ngày 22/03/2021</t>
  </si>
  <si>
    <t xml:space="preserve">Cổng dịch vụ công trực tuyến mức độ 3, 4 tỉnh, phần mềm xử lý chuyên ngành hỗ trợ giải quyết TTHC; hệ thống hướng dẫn, hỏi đáp và trợ giúp TTHC và các phần mềm dùng </t>
  </si>
  <si>
    <t>1839/QĐ-UBND-HC ngày 03/12/2020</t>
  </si>
  <si>
    <t>TPHN-HTH</t>
  </si>
  <si>
    <t>Chiều dài 26,3km, cấp IV-ĐB</t>
  </si>
  <si>
    <t>648/QĐ-UBND-HC ngày 28/05/2021</t>
  </si>
  <si>
    <t>HTM-HTN-HTH</t>
  </si>
  <si>
    <t>Ban QLDA ĐTXDCT Giao thông</t>
  </si>
  <si>
    <t>Chiều dài 27,6km, cấp IV-ĐB. XD 10 cầu tải trọng HL93</t>
  </si>
  <si>
    <t>1926/QĐ-UBND-HC ngày 23/12/2020</t>
  </si>
  <si>
    <t>647/QĐ-UBND-HC ngày 28/5/2021; 1555/QĐ-UBND-HC ngày 14/10/2021</t>
  </si>
  <si>
    <t>HTN, HTM, CL</t>
  </si>
  <si>
    <t>Nâng cấp, mở rộng 11 cầu và xây mới 01 cầu tải trọng HL93</t>
  </si>
  <si>
    <t>87/NQ-HĐND ngày 09/12/2021</t>
  </si>
  <si>
    <t>HHN, TPHN</t>
  </si>
  <si>
    <t>Ban QLDA ĐTXDCT Giao thông; UBND thành phố Hồng Ngự; UBND huyện Hồng Ngự</t>
  </si>
  <si>
    <t>Chiều dài 19,184km, cấp IV-ĐB: nền rộng 9m, mặt láng nhựa rộng 7m;  01 cầu HL93; thảm bê tông nhựa nóng đoạn đường dài 2,35km</t>
  </si>
  <si>
    <t>2019-2023</t>
  </si>
  <si>
    <t>02/NQ-HĐND ngày 24/3/2022</t>
  </si>
  <si>
    <t>HTN</t>
  </si>
  <si>
    <t>941/QĐ-UBND-HC ngày 14/7/2021</t>
  </si>
  <si>
    <t>b.2</t>
  </si>
  <si>
    <t>Dự án nhóm A</t>
  </si>
  <si>
    <t>TB-CL-TM</t>
  </si>
  <si>
    <t>Sở GTVT; TTPTQD-Sở TNMT</t>
  </si>
  <si>
    <t>Chiều dài 44,8km, cấp IV-ĐB. XD 27 cầu BTCT tải trọng HL93</t>
  </si>
  <si>
    <t>2021-2025</t>
  </si>
  <si>
    <t>64/NQ-HĐND ngày 17/8/2021</t>
  </si>
  <si>
    <t>2020-2023</t>
  </si>
  <si>
    <t>HN</t>
  </si>
  <si>
    <t>Ban QLDA ĐTXD CT NN&amp;PTNT</t>
  </si>
  <si>
    <t>7910306</t>
  </si>
  <si>
    <t>Các dự án chuyển tiếp hoàn thành sau năm 2023</t>
  </si>
  <si>
    <t>Các dự án chuyển tiếp hoàn thành năm 2023</t>
  </si>
  <si>
    <t>1</t>
  </si>
  <si>
    <t>TPHN - HTH</t>
  </si>
  <si>
    <t>Ban QLDA ĐTXD CT NN&amp;PTNT Tỉnh</t>
  </si>
  <si>
    <t xml:space="preserve">1489/QĐ-UBND-HC ngày 29/9/2021 của UBND Tỉnh
</t>
  </si>
  <si>
    <t>HCL&amp;HTB</t>
  </si>
  <si>
    <t>938/QĐ-UBND.HC ngày 14/7/2021 của UBND Tỉnh</t>
  </si>
  <si>
    <t>- Dự án Trường Trung học phổ thông Kiến Văn</t>
  </si>
  <si>
    <t>Ban QLDA đầu tư xây dựng công trình DD&amp;CN Tỉnh</t>
  </si>
  <si>
    <t>28 phòng học, 25 phòng chức năng, công trình phụ trợ, hạ tầng kỹ thuật</t>
  </si>
  <si>
    <t>2019-2022</t>
  </si>
  <si>
    <t xml:space="preserve">- Chương trình đảm bảo cơ sở vật chất cho chương trình giáo dục mầm non và giáo dục phổ thông giai đoạn 2021-2025
</t>
  </si>
  <si>
    <t>b.1.1</t>
  </si>
  <si>
    <t>c.1</t>
  </si>
  <si>
    <t>b.2.1</t>
  </si>
  <si>
    <t>b.2.2</t>
  </si>
  <si>
    <t>* Tỉnh quản lý</t>
  </si>
  <si>
    <t>HHN</t>
  </si>
  <si>
    <t>Ban QLDA ĐTXD CT DD&amp;CN Tỉnh</t>
  </si>
  <si>
    <t>Y tế</t>
  </si>
  <si>
    <t>TPHN</t>
  </si>
  <si>
    <t>Ban QLDA ĐTXDCT DD&amp;CN Tỉnh</t>
  </si>
  <si>
    <t>Số 98/QĐ-UBND.HC ngày 27/01/2022 của UBND Tỉnh</t>
  </si>
  <si>
    <t>200 giường bệnh</t>
  </si>
  <si>
    <t>- Đầu tư xây dựng công trình Khu kinh tế Quốc phòng Tân Hồng (giai đoạn 2)</t>
  </si>
  <si>
    <t>HTH-HTN</t>
  </si>
  <si>
    <t>d.1</t>
  </si>
  <si>
    <t>e.1</t>
  </si>
  <si>
    <t>Trường CĐ Y tế</t>
  </si>
  <si>
    <t>toàn tỉnh</t>
  </si>
  <si>
    <t>500 bộ thiết bị và 30 phòng máy tính cho mầm non</t>
  </si>
  <si>
    <t>640/QÐ-UBND.HC ngày 27/5/2021 của UBND Tỉnh</t>
  </si>
  <si>
    <t>Toàn tỉnh</t>
  </si>
  <si>
    <t>62 máy tính gv, 2.281 máy tính họcsinh; 42 bộ bàn ghế gv, 817 bàn và 2.244 ghế học sinh; hệ thống mạng cho 41 trường THPT</t>
  </si>
  <si>
    <t>thiết bị và phần mềm dạy học tại 273 phòng dạy học ngoại ngữ</t>
  </si>
  <si>
    <t>- Trường THPT Tân Phú Trung</t>
  </si>
  <si>
    <t>- Trường THPT Lai Vung 3</t>
  </si>
  <si>
    <t>- Trường THCS-THPT Hòa Bình</t>
  </si>
  <si>
    <t>HCT</t>
  </si>
  <si>
    <t>Sở GD&amp;ĐT</t>
  </si>
  <si>
    <t>HL. Vung</t>
  </si>
  <si>
    <t>1824/QĐ-UBND.HC ngày 30/11/2021 của UBND Tỉnh</t>
  </si>
  <si>
    <t>1825/QÐ-UBND.HC ngày 01/12/2021 của UBND Tỉnh</t>
  </si>
  <si>
    <t>1823/QÐ-UBND.HC ngày 30/11/2021 của UBND Tỉnh</t>
  </si>
  <si>
    <t>BQL KKT</t>
  </si>
  <si>
    <t>- Mua sắm thiết bị kiểm định, kiểm nghiệm phục vụ quản lý nhà nước, giai đoạn 2021 - 2025</t>
  </si>
  <si>
    <t>1289/QĐ-UBND-HC ngày 31/08/2021 của UBND tỉnh</t>
  </si>
  <si>
    <t>HTH</t>
  </si>
  <si>
    <t>Sở Y Tế</t>
  </si>
  <si>
    <t>- Cải tạo nâng cấp Doanh trại Ban CHQS huyện, thị, thành phố</t>
  </si>
  <si>
    <t>tỉnh ĐT</t>
  </si>
  <si>
    <t>36/QĐ-BTL ngày 27/02/2021 của Bộ Tư lệnh Quân khu IX</t>
  </si>
  <si>
    <t xml:space="preserve">390/QĐ-UBND.HC ngày 31/3/2021 của UBND Tỉnh </t>
  </si>
  <si>
    <t>Phát triển đô thị trên địa bàn tỉnh (hỗ trợ mục tiêu cho cấp huyện)</t>
  </si>
  <si>
    <t>KBNN HCL</t>
  </si>
  <si>
    <t>UBND HCL</t>
  </si>
  <si>
    <t>Hoàn thiện hệ thống giao thông, vĩa hè, công thoát nước khu nội ô</t>
  </si>
  <si>
    <t>a.2.1</t>
  </si>
  <si>
    <t>Bờ kè, san lấp, hoa viên, cây xanh, cống thoát nước, hệ thống chiếu sáng công cộng</t>
  </si>
  <si>
    <t xml:space="preserve"> Hỗ trợ có mục tiêu cho cấp huyện xây dựng Trụ sở UBND cấp xã tỉnh Đồng Tháp</t>
  </si>
  <si>
    <t>2023-2025</t>
  </si>
  <si>
    <t>a.3</t>
  </si>
  <si>
    <t>a.3.1</t>
  </si>
  <si>
    <t>Hỗ trợ cấp huyện đầu tư hoàn chỉnh hệ thống hạ tầng kỹ thuật đối với các cụm dân cư vượt lũ giai đoạn 01 trên địa bàn tỉnh</t>
  </si>
  <si>
    <t>372/QĐ-UBND ngày 28/7/2021 của UBND huyện</t>
  </si>
  <si>
    <t>* Hỗ trợ huyện Cao Lãnh</t>
  </si>
  <si>
    <t>KBNN ĐT - CL</t>
  </si>
  <si>
    <t>847/QĐ-UBND ngày 29/12/2020 và 1119/QĐ-UBND ngày 12/10/2021 của UBND huyện</t>
  </si>
  <si>
    <t>- Trường TH Phong Mỹ 4</t>
  </si>
  <si>
    <t>KBNN ĐT HCL</t>
  </si>
  <si>
    <t>7852629</t>
  </si>
  <si>
    <t xml:space="preserve">Số 1861/QĐ-UBND ngày 30/11/2021 của UBND Huyện  </t>
  </si>
  <si>
    <t xml:space="preserve">Số 1859/QĐ-UBND ngày 30/11/2021của UBND Huyện  </t>
  </si>
  <si>
    <t xml:space="preserve">Số 1853/QĐ-UBND ngày 30/11/2021 của UBND Huyện  </t>
  </si>
  <si>
    <t xml:space="preserve">Số 1855/QĐ-UBND ngày 30/11/2021 của UBND Huyện  </t>
  </si>
  <si>
    <t xml:space="preserve">Số 1857/QĐ-UBND ngày 30/11/2021 của UBND Huyện  </t>
  </si>
  <si>
    <t>* Hỗ trợ huyện Châu Thành</t>
  </si>
  <si>
    <t>KBNN HCT</t>
  </si>
  <si>
    <t>UBND HCT</t>
  </si>
  <si>
    <t>1274/QĐ-UBND  ngày 24/9/2021 của UBND huyện</t>
  </si>
  <si>
    <t>- Trường mẫu giáo An Nhơn (Điểm Chính)</t>
  </si>
  <si>
    <t>- Trường Tiểu học Cái Tàu Hạ 2</t>
  </si>
  <si>
    <t xml:space="preserve">- Trường mẫu giáo Tân Phú  (Điểm chính) </t>
  </si>
  <si>
    <t>- Trường Tiểu học Hòa Tân 1</t>
  </si>
  <si>
    <t>KBNN ĐT - HCT</t>
  </si>
  <si>
    <t>4PH+1PCN+thiết bị</t>
  </si>
  <si>
    <t>01PH+10PCN+HMP+TB</t>
  </si>
  <si>
    <t>4PH-PCN+HMP+TB</t>
  </si>
  <si>
    <t>02PH+15PCN+HMP+TB</t>
  </si>
  <si>
    <t>12PH+26PCN+HMP+TB</t>
  </si>
  <si>
    <t>a.3.2</t>
  </si>
  <si>
    <t>1275/QĐ-UBND ngày 24/9/2021 của UBND huyện</t>
  </si>
  <si>
    <t>* Hỗ trợ huyện Hồng Ngự</t>
  </si>
  <si>
    <t>* Hỗ trợ huyện Thanh Bình</t>
  </si>
  <si>
    <t>- Trường THCS Tân Thạnh</t>
  </si>
  <si>
    <t>- Trường THCS An  Phong</t>
  </si>
  <si>
    <t>- Trường TH Tân Mỹ 1</t>
  </si>
  <si>
    <t>- Trường TH Tân Quới 2</t>
  </si>
  <si>
    <t>KBNN ĐT - TB</t>
  </si>
  <si>
    <t>UBND HTB</t>
  </si>
  <si>
    <t>2021 2023</t>
  </si>
  <si>
    <t>HTB</t>
  </si>
  <si>
    <t>380/QĐ-UBND ngày 30/12/2020 của UBND huyện</t>
  </si>
  <si>
    <t>379/QĐ-UBND ngày 30/12/2020 của UBND huyện</t>
  </si>
  <si>
    <t>381/QĐ-UBND ngày 30/12/2020 của UBND huyện</t>
  </si>
  <si>
    <t xml:space="preserve"> 382/QĐ-UBND ngày 30/12/2020 của UBND huyện</t>
  </si>
  <si>
    <t>KBNN ĐT - HTB</t>
  </si>
  <si>
    <t>10PH+19PCN+HMP+thiết bị</t>
  </si>
  <si>
    <t>4PH+16PCN+HMP+thiết bị</t>
  </si>
  <si>
    <t>23PCN+HMP+thiết bị</t>
  </si>
  <si>
    <t>8PH+16PCN+HMP+thiết bị</t>
  </si>
  <si>
    <t>4PH+7PCN+HMP+thiết bị</t>
  </si>
  <si>
    <t>10PH+10PCN+HMP+thiết bị</t>
  </si>
  <si>
    <t>561/QĐ-UBND.HC ngày 25/11/2021 của UBND huyện</t>
  </si>
  <si>
    <t>562/QĐ-UBND.HC ngày 25/11/2021 của UBND huyện</t>
  </si>
  <si>
    <t>563/QĐ-UBND.HC ngày 25/11/2021 của UBND huyện</t>
  </si>
  <si>
    <t>566/QĐ-UBND.HC ngày 25/11/2021 của UBND huyện</t>
  </si>
  <si>
    <t>564/QĐ-UBND.HC ngày 25/11/2021 của UBND huyện</t>
  </si>
  <si>
    <t>565/QĐ-UBND.HC ngày 25/11/2021 của UBND huyện</t>
  </si>
  <si>
    <t>KBNN HTB</t>
  </si>
  <si>
    <t>7935429</t>
  </si>
  <si>
    <t>7935428</t>
  </si>
  <si>
    <t>7935426</t>
  </si>
  <si>
    <t>Số 26/QĐ-UBND.HC ngày 27/01/2022 của UBND huyện</t>
  </si>
  <si>
    <t>Số 27/QĐ-UBND.HC ngày 27/01/2022 của UBND huyện</t>
  </si>
  <si>
    <t>Hỗ trợ mục tiêu cho cấp huyện đầu tư hạ tầng giao thông nông thôn góp phần hoàn thành tiêu chí nông thôn mới</t>
  </si>
  <si>
    <t>570/QĐ-UBND.HC ngày 25/11/2021 của UBND huyện</t>
  </si>
  <si>
    <t>KBNN HTH</t>
  </si>
  <si>
    <t>UBND HTH</t>
  </si>
  <si>
    <t>* Hỗ trợ huyện Tân Hồng</t>
  </si>
  <si>
    <t xml:space="preserve">- Trường MG Tân Phước </t>
  </si>
  <si>
    <t>2</t>
  </si>
  <si>
    <t xml:space="preserve">- Trường MN Thị trấn Sa Rài </t>
  </si>
  <si>
    <t>3</t>
  </si>
  <si>
    <t xml:space="preserve">- Trường MG Tân Công Chí </t>
  </si>
  <si>
    <t>4</t>
  </si>
  <si>
    <t>- Trường TH Trần Phú</t>
  </si>
  <si>
    <t>5</t>
  </si>
  <si>
    <t>- Trường TH Nguyễn Huệ</t>
  </si>
  <si>
    <t>6</t>
  </si>
  <si>
    <t>- Trường THCS Tân Hộ Cơ</t>
  </si>
  <si>
    <t>7</t>
  </si>
  <si>
    <t>- Trường MG Tân Thành A (điểm chính)</t>
  </si>
  <si>
    <t>8</t>
  </si>
  <si>
    <t>- Trường TH Tân Công Chí 1</t>
  </si>
  <si>
    <t>9</t>
  </si>
  <si>
    <t>- Trường TH Bình Phú 2</t>
  </si>
  <si>
    <t>10</t>
  </si>
  <si>
    <t>- Trường THCS Nguyễn Văn Trỗi</t>
  </si>
  <si>
    <t>KBNN ĐT - HTH</t>
  </si>
  <si>
    <t xml:space="preserve">XD 06 PH + 16 PCN, TB + HMP </t>
  </si>
  <si>
    <t xml:space="preserve">XD 03 PH + 08 PCN, TB + HMP </t>
  </si>
  <si>
    <t xml:space="preserve">XD 02 PH + 16 PCN, TB + HMP </t>
  </si>
  <si>
    <t xml:space="preserve">XD 15 PCN + HMP HTKT + TB  </t>
  </si>
  <si>
    <t>XD 12 PH + 09 PCN,  HMP + TB</t>
  </si>
  <si>
    <t>XD 12 PH + 18 PCN, HMP + TB</t>
  </si>
  <si>
    <t xml:space="preserve">XD 4 PH + 7 PCN, TB + HMP </t>
  </si>
  <si>
    <t xml:space="preserve">XD 10 PH, 11 PCN + HMP HTKT + TB  </t>
  </si>
  <si>
    <t xml:space="preserve">XD 03 PH + 24 PCN, TB + HMP </t>
  </si>
  <si>
    <t>- Trường TH Giồng Găng</t>
  </si>
  <si>
    <t>- Trường THCS Nguyễn Quang Diêu</t>
  </si>
  <si>
    <t>- Trường THCS Tân Phước</t>
  </si>
  <si>
    <t>- Trường TH Tân Thành B2</t>
  </si>
  <si>
    <t xml:space="preserve">XD 10 PH + 12 PCN, TB + HMP </t>
  </si>
  <si>
    <t>XD 12 PH + 24 PCN, HMP + HTKT + TB</t>
  </si>
  <si>
    <t xml:space="preserve">XD 02 PH + 23 PCN, TB + HMP </t>
  </si>
  <si>
    <t>XD 11 PH + 18 PCN,  HMP + TB</t>
  </si>
  <si>
    <t>- Trường MN Tân Thành A (điểm phụ Chiến Thắng)</t>
  </si>
  <si>
    <t>- Trường MN 1/6</t>
  </si>
  <si>
    <t>3PH+thiết bị+HMP</t>
  </si>
  <si>
    <t>7PCN+thiết bị+HMP</t>
  </si>
  <si>
    <t>374/QĐ-UBND.XDCB ngày 10/11/2021 của UBND huyện</t>
  </si>
  <si>
    <t>373/QĐ-UBND.XDCB ngày 10/11/2021 của UBND huyện</t>
  </si>
  <si>
    <t xml:space="preserve">- Đường Tân Thành (Long Sơn Ngọc - Biên Giới) </t>
  </si>
  <si>
    <t>Chiều dài 6,1km</t>
  </si>
  <si>
    <t>286/QĐ-UBND.ĐTXD ngày 28/12/2020 của UBND Huyện</t>
  </si>
  <si>
    <t>- Đường Thống Nhất (đoạn từ kênh Hồng Ngự Vĩnh Hưng đến Quốc lộ 30)</t>
  </si>
  <si>
    <t>- ĐH Bắc Trang</t>
  </si>
  <si>
    <t>Chiều dài 6,084km, nền 7,5m, mặt láng nhựa 5,5m</t>
  </si>
  <si>
    <t>Chiều dài 7,43km, nền 7,5m, mặt láng nhựa 5,5m</t>
  </si>
  <si>
    <t>323/QĐ-UBND.ĐTXD ngày 28/12/2020 của UBND Huyện</t>
  </si>
  <si>
    <t>321/QĐ-UBND.ĐTXD ngày 28/12/2020 của UBND Huyện</t>
  </si>
  <si>
    <t>Nền mặt đường, hệ thống thoát nước, vỉa hè và hệ thống chiếu sáng</t>
  </si>
  <si>
    <t>số 248/QĐ-UBND.ĐTXD ngày 10/11/2020 của UBND huyện; số 390/QĐ-UBND.ĐTXD ngày 18/11/2021 của UBND huyện</t>
  </si>
  <si>
    <t>KBNN HHN</t>
  </si>
  <si>
    <t>UBND HHN</t>
  </si>
  <si>
    <t>* Hỗ trợ huyện Tam Nông</t>
  </si>
  <si>
    <t>KBNN HTN</t>
  </si>
  <si>
    <t>UBND HTN</t>
  </si>
  <si>
    <t>Số 77/QĐ-UBND.ĐTXD ngày 04/5/2022 của UBND huyện</t>
  </si>
  <si>
    <t>Số 04/QĐ-UBND.ĐTXD ngày 11/2/2022 của UBND huyện</t>
  </si>
  <si>
    <t>2423/QĐ-UBND-HC ngày 24/12/2021 của UBND huyện</t>
  </si>
  <si>
    <t>Số 2209/QĐ-UBND-HC ngày 19/11/2021 của UBND huyện</t>
  </si>
  <si>
    <t>1918/QĐ-UBND.HC  ngày 30/09/2021</t>
  </si>
  <si>
    <t>Láng nhựa mặt đường, xây dựng mới hệ thống thoát nước</t>
  </si>
  <si>
    <t>2032/QĐ-UBND-HC ngày 01/11/2021 của UBND huyện</t>
  </si>
  <si>
    <t>2289/QĐ-UBND-HC ngày 30/11/2021 của UBND huyện</t>
  </si>
  <si>
    <t>2295/QĐ-UBND-HC ngày 02/12/2021 của UBND huyện</t>
  </si>
  <si>
    <t>2389/QĐ-UBND-HC ngày 17/12/2021 của UBND huyện</t>
  </si>
  <si>
    <t>2296/QĐ-UBND-HC ngày 02/12/2021 của UBND huyện</t>
  </si>
  <si>
    <t>KBNN ĐT - HTN</t>
  </si>
  <si>
    <t>2035/QĐ-UBND-HC ngày 01/11/2021 của UBND huyện</t>
  </si>
  <si>
    <t>2148/QĐ-UBND-HC ngày 10/11/2021 của UBND huyện</t>
  </si>
  <si>
    <t>Chiều dài tuyến khoảng 3.604m; nền đường rộng 7,5m, mặt đường rộng 5,5m, cán đá láng nhựa 2 lớp tiêu chuẩn 3 kg/m2</t>
  </si>
  <si>
    <t>Cầu BTCT, tải trọng 18 tấn</t>
  </si>
  <si>
    <t>* Hỗ trợ huyện Lấp Vò</t>
  </si>
  <si>
    <r>
      <t xml:space="preserve">- Đường Rạch Ngã Cạy (đoạn từ rạch Cái Dâu đến vòng xoay Nguyễn Huệ)
</t>
    </r>
    <r>
      <rPr>
        <i/>
        <sz val="11"/>
        <rFont val="Times New Roman"/>
        <family val="1"/>
      </rPr>
      <t>(Hạng mục: Bồi thường, xây dựng)</t>
    </r>
  </si>
  <si>
    <t>HL Vò</t>
  </si>
  <si>
    <t>KBNN HL Vò</t>
  </si>
  <si>
    <t>UBND HLVo</t>
  </si>
  <si>
    <t xml:space="preserve">Dài 440m, tải  trọng thiết kế trục 10 tấn, </t>
  </si>
  <si>
    <t>Số 1639/QĐ-UBND.HC ngày 29/11/2021 của UBND huyện</t>
  </si>
  <si>
    <t>- Trường TH Tân Khánh Trung 3</t>
  </si>
  <si>
    <t>- Trường TH Mỹ An Hưng A</t>
  </si>
  <si>
    <t>- Trường TH Định An</t>
  </si>
  <si>
    <t>- Trường THCS Định An</t>
  </si>
  <si>
    <t>KBNN ĐT - HL Vò</t>
  </si>
  <si>
    <t>UBND HL Vò</t>
  </si>
  <si>
    <t>7PH+19PCN+HMP+TB</t>
  </si>
  <si>
    <t>4PH+19PCN+HMP+TB</t>
  </si>
  <si>
    <t>8PH+25PCN+HMP+TB</t>
  </si>
  <si>
    <t>12PH+29PCN+TB+HMP</t>
  </si>
  <si>
    <t>Số 176/QĐ-UBND.HC ngày 25/01/2022 của UBND huyện</t>
  </si>
  <si>
    <t>Số 1736/QĐ-UBND.HC ngày 17/12/2021 của UBND huyện</t>
  </si>
  <si>
    <t>Số 175/QĐ-UBND.HC ngày 25/01/2022 của UBND huyện</t>
  </si>
  <si>
    <t>Số 142/QĐ-UBND.HC ngày 17/01/2022 của UBND huyện</t>
  </si>
  <si>
    <t>* Hỗ trợ huyện Lai Vung</t>
  </si>
  <si>
    <t>- Trường MN Long Thắng 2</t>
  </si>
  <si>
    <t>- Trường MN Long Hậu 2</t>
  </si>
  <si>
    <t>- Trường TH Long Hậu 2</t>
  </si>
  <si>
    <t>- Trường TH Long Thắng 2</t>
  </si>
  <si>
    <t>- Trường TH Vĩnh Thới 3</t>
  </si>
  <si>
    <t>- Trường TH Tân Hòa 1</t>
  </si>
  <si>
    <t>- Trường THCS Tân phước</t>
  </si>
  <si>
    <t>LVung</t>
  </si>
  <si>
    <t>KBNN ĐT - LVung</t>
  </si>
  <si>
    <t>UBND H. Lai Vung</t>
  </si>
  <si>
    <t>575/QĐ-UBND-XDCB ngày 28/12/2020 của UBND huyện</t>
  </si>
  <si>
    <t>578/QĐ-UBND-XDCB ngày 28/12/2020 của UBND huyện</t>
  </si>
  <si>
    <t>576/QĐ-UBND-XDCB ngày 28/12/2020 của UBND huyện</t>
  </si>
  <si>
    <t>574/QĐ-UBND-XDCB ngày 28/12/2020 của UBND huyện</t>
  </si>
  <si>
    <t>577/QĐ-UBND-XDCB ngày 28/12/2020 của UBND huyện</t>
  </si>
  <si>
    <t>573/QĐ-UBND-XDCB ngày 28/12/2020 của UBND huyện</t>
  </si>
  <si>
    <t>579/QĐ-UBND-XDCB ngày 28/12/2020 của UBND huyện</t>
  </si>
  <si>
    <t>- Trường Tiểu học Phong Hòa 2 (điểm chính)</t>
  </si>
  <si>
    <t>- Trường Tiểu học Phong Hòa 2 (điểm Tân Qưới)</t>
  </si>
  <si>
    <t>KBNN ĐT - HL Vung</t>
  </si>
  <si>
    <t>UBND H. L Vung</t>
  </si>
  <si>
    <t>1PH+10PCN+thiết bị+HMP</t>
  </si>
  <si>
    <t>2022- 2024</t>
  </si>
  <si>
    <t>6PH+1PCN+thiết bị+HMP</t>
  </si>
  <si>
    <t>15PH+08PCN+thiết bị+HMP</t>
  </si>
  <si>
    <t>15PH+7PCN+thiết bị+HMP</t>
  </si>
  <si>
    <t>KBNN HLVung</t>
  </si>
  <si>
    <t>UBND HLVung</t>
  </si>
  <si>
    <t>7861919</t>
  </si>
  <si>
    <t>H. L Vung</t>
  </si>
  <si>
    <t>KBNN H. L Vung</t>
  </si>
  <si>
    <t>7927552</t>
  </si>
  <si>
    <t>338/QĐ-UBND-XDCB ngày 03/11/2021 của UBND huyện</t>
  </si>
  <si>
    <t>7927569</t>
  </si>
  <si>
    <t>337/QĐ-UBND-XDCB ngày 03/11/2021 của UBND huyện</t>
  </si>
  <si>
    <t>- Đường huyện lộ Phan Văn Bảy</t>
  </si>
  <si>
    <t>- Đường huyện lộ số 5</t>
  </si>
  <si>
    <t>UBND huyện Lai Vung</t>
  </si>
  <si>
    <t>Chiều dài 6,882km. 08 cống ngang. 09 cầu BTCT có chiều rộng phần xe chạy 5,5m</t>
  </si>
  <si>
    <t>Chiều dài 8,698km. 09 cầu BTCT có chiều rộng phần xe chạy 5,5m</t>
  </si>
  <si>
    <t>76/QĐ-UBND-XDCB ngày 26/3/2021 của UBND Huyện</t>
  </si>
  <si>
    <t>77/QĐ-UBND-XDCB ngày 26/3/2021 của UBND Huyện</t>
  </si>
  <si>
    <t>a.2.2</t>
  </si>
  <si>
    <t>- Đường Nguyễn Thị Lựu (đoạn KDC Phường 4 Hòa An - sông Hổ Cứ)</t>
  </si>
  <si>
    <t>UBND TPCL</t>
  </si>
  <si>
    <t>2522/QĐ-UBND ngày 30/11/2021 của UBND TPCL</t>
  </si>
  <si>
    <t>* Hỗ trợ thành phố Cao Lãnh</t>
  </si>
  <si>
    <t>2106/QĐ-UBND ngày 18/10/2021 của UBND thành phố</t>
  </si>
  <si>
    <t>2519/QĐ-UBND ngày 29/11/2021 của UBND thành phố</t>
  </si>
  <si>
    <t>2520/QĐ-UBND ngày 29/11/2021 của UBND thành phố</t>
  </si>
  <si>
    <t>2371/QĐ-UBND ngày 18/11/2021 của UBND thành phố</t>
  </si>
  <si>
    <t>* Hỗ trợ thành phố Hồng Ngự</t>
  </si>
  <si>
    <t>- Hạ tầng khu đô thị Bắc An Thành</t>
  </si>
  <si>
    <t>KBNN TPHN</t>
  </si>
  <si>
    <t>UBND TPHN</t>
  </si>
  <si>
    <t>- Chỉnh trang đô thị khu đô thị An Thạnh</t>
  </si>
  <si>
    <t>7891903</t>
  </si>
  <si>
    <t>*Hỗ trợ thành phố Hồng Ngự</t>
  </si>
  <si>
    <t>KBNN ĐT - TPHN</t>
  </si>
  <si>
    <t>20PH+28PCN+TB+HMP</t>
  </si>
  <si>
    <t>2743/QĐ-UBND ngày 20/12/2021 của UBND thành phố</t>
  </si>
  <si>
    <t>2742/QĐ-UBND ngày 20/12/2021 của UBND thành phố</t>
  </si>
  <si>
    <t>12PH+9PCN+TB+HMP</t>
  </si>
  <si>
    <t>2741/QĐ-UBND ngày 20/12/2021 của UBND thành phố</t>
  </si>
  <si>
    <t>- Đường N7 (đoạn từ đường Hoa Sa Đéc đến đường ĐT 848)</t>
  </si>
  <si>
    <t>TPSĐ</t>
  </si>
  <si>
    <t>KBNN TPSĐ</t>
  </si>
  <si>
    <t>UBND TPSĐ</t>
  </si>
  <si>
    <t>183/QĐ-UBND-XDCB ngày 01/9/2021 của UBND TPSĐ</t>
  </si>
  <si>
    <t>* Hỗ trợ huyện Tháp Mười</t>
  </si>
  <si>
    <t>- Cầu kênh Nguyễn Văn Tiếp A</t>
  </si>
  <si>
    <t>KBNN HTM</t>
  </si>
  <si>
    <t>UBND HTM</t>
  </si>
  <si>
    <t>6341/QĐ-UBND ngày 31/12/2020 của UBND huyện</t>
  </si>
  <si>
    <t>6286/QĐ-UBND ngày 31/12/2020 của UBND huyện</t>
  </si>
  <si>
    <t>6283/QĐ-UBND ngày 31/12/2020 của UBND huyện</t>
  </si>
  <si>
    <t>2021 - 2023</t>
  </si>
  <si>
    <t>5348/QĐ-UBND ngày 21/12/2020 của UBND huyện</t>
  </si>
  <si>
    <t>KBNN ĐT - TM</t>
  </si>
  <si>
    <t>6334/QĐ-UBND ngày 31/12/2020 của UBND huyện</t>
  </si>
  <si>
    <t>6335/QĐ-UBND ngày 31/12/2020 của UBND huyện</t>
  </si>
  <si>
    <t>6336/QĐ-UBND ngày 31/12/2020 của UBND huyện</t>
  </si>
  <si>
    <t>6340/QĐ-UBND ngày 31/12/2020 của UBND huyện</t>
  </si>
  <si>
    <t>6342/QĐ-UBND ngày 31/12/2020 của UBND huyện</t>
  </si>
  <si>
    <t>6343/QĐ-UBND ngày 31/12/2020 của UBND huyện</t>
  </si>
  <si>
    <t>5349/QĐ-UBND ngày 21/12/2020 của UBND huyện</t>
  </si>
  <si>
    <t>KBNN ĐT - HTM</t>
  </si>
  <si>
    <t xml:space="preserve">10553/QĐ-UBND ngày 12/11/2021 của UBND huyện </t>
  </si>
  <si>
    <t>- Đường Đ-07</t>
  </si>
  <si>
    <t>13006/QĐ-UBND ngày 15/11/2021 của UBND huyện</t>
  </si>
  <si>
    <t>KBNN ĐT - HHN</t>
  </si>
  <si>
    <t>3PH+2PCN+ thiết bị</t>
  </si>
  <si>
    <t>6PH+6PCN+ thiết bị</t>
  </si>
  <si>
    <t>16PH+21PCN+thiết bị+HMP</t>
  </si>
  <si>
    <t>14PH+34PCN+thiết bị+HMP</t>
  </si>
  <si>
    <t>25PCN+thiết bị+HMP</t>
  </si>
  <si>
    <t>13213/QĐ-UBND ngày 25/11/2021 của UBND huyện</t>
  </si>
  <si>
    <t>13350/QĐ-UBND ngày 29/11/2021 của UBND huyện</t>
  </si>
  <si>
    <t>13351/QĐ-UBND ngày 29/11/2021 của UBND huyện</t>
  </si>
  <si>
    <t>13352/QĐ-UBND ngày 29/11/2021 của UBND huyện</t>
  </si>
  <si>
    <t>13214/QĐ-UBND ngày 25/11/2021 của UBND huyện</t>
  </si>
  <si>
    <t>Chiều dài 5,4km đường cấp V-ĐB; XD 04 cầu và 01 cống hộp, tải trọng 0,5HL-93, bề rộng phần xe chạy 5,5m</t>
  </si>
  <si>
    <t>553/QĐ-UBND ngày 01/7/2021</t>
  </si>
  <si>
    <t>532/QĐ-UBND ngày 14/06/2022 của UBND Huyện</t>
  </si>
  <si>
    <t>1820/QĐ-UBND-HC ngày 18/12/2020</t>
  </si>
  <si>
    <t>898/QĐ-UBND-HC ngày 30/6/2022 của UBND huyện</t>
  </si>
  <si>
    <t>Chiều dài 7,285km, nền 9m, mặt láng nhựa 7m, tải trọng trục đơn 10 tấn</t>
  </si>
  <si>
    <t>11502/QĐ-UBND ngày 30/09/2021</t>
  </si>
  <si>
    <t>13357/QĐ-UBND ngày 29/11/2021 của UBND Huyện</t>
  </si>
  <si>
    <t>Chiều dài 14,837km, nền 9m, mặt láng nhựa 7m</t>
  </si>
  <si>
    <t>5312/QĐ-UBND ngày 09/12/2020</t>
  </si>
  <si>
    <t>13360/QĐ-UBND ngày 29/11/2021 của UBND Huyện</t>
  </si>
  <si>
    <t>Chiều dài 12,642km, nền 9m, mặt láng nhựa 7m</t>
  </si>
  <si>
    <t>1196/QĐ-UBND ngày 23/3/2021</t>
  </si>
  <si>
    <t>13362/QĐ-UBND ngày 29/11/2021 của UBND Huyện</t>
  </si>
  <si>
    <t>7891907</t>
  </si>
  <si>
    <t>7891904</t>
  </si>
  <si>
    <t>7878459</t>
  </si>
  <si>
    <t>7930155</t>
  </si>
  <si>
    <t>Sở VHTTDL</t>
  </si>
  <si>
    <t>7919596</t>
  </si>
  <si>
    <t>297/QĐ-UBND.ĐTXD ngày 10/11/2020 của UBND huyện</t>
  </si>
  <si>
    <t>237/QĐ-UBND.ĐTXD ngày 29/9/2021 của UBND huyện</t>
  </si>
  <si>
    <t xml:space="preserve"> 393/QĐ-UBND.ĐTXD ngày 19/11/2021 của UBND huyện</t>
  </si>
  <si>
    <t>298/QĐ-UBND.ĐTXD ngày 10/11/2020 của UBND huyện</t>
  </si>
  <si>
    <t xml:space="preserve"> 326/QĐ-UBND.ĐTXD ngày 28/12/2020 của UBND huyện</t>
  </si>
  <si>
    <t>7964787</t>
  </si>
  <si>
    <t>9642/QĐ-UBND ngày 27/9/2021 của UBND huyện</t>
  </si>
  <si>
    <t>7931929</t>
  </si>
  <si>
    <t>Số vốn còn lại</t>
  </si>
  <si>
    <t>tỉnh Đồng Tháp</t>
  </si>
  <si>
    <t>Số 202/QĐ-UBND.HC ngày 09/3/2022 của UBND Tỉnh</t>
  </si>
  <si>
    <t>1839/QĐ-UBND-HC ngày 18/12/2020 của UBND huyện</t>
  </si>
  <si>
    <t>2414/QĐ-UBND-HC  ngày 22/12/2021 của UBND huyện</t>
  </si>
  <si>
    <t>1765/QĐ-UBND-HC ngày 18/12/2020 của UBND huyện</t>
  </si>
  <si>
    <t xml:space="preserve"> 2413/QĐ-UBND-HC  ngày 22/12/2021 của UBND huyện</t>
  </si>
  <si>
    <t>3268/QĐ-UBND ngày 06/6/2022 của UBND huyện</t>
  </si>
  <si>
    <t>- Kè chống sạt lở và trồng cây bảo vệ đường tuần tra biên giới (giai đoạn 2)</t>
  </si>
  <si>
    <t>H. L Vò</t>
  </si>
  <si>
    <t>UBND H. L Vò</t>
  </si>
  <si>
    <t>KBNN H. L Vò</t>
  </si>
  <si>
    <t>1796/QĐ-UBND-HC ngày 18/12/2020 của UBND huyện</t>
  </si>
  <si>
    <t>1797/QĐ-UBND-HC ngày 18/12/2020 của UBND huyện</t>
  </si>
  <si>
    <t>97/QĐ-UBND.HC ngày 26/01/2022 của UBND Tỉnh</t>
  </si>
  <si>
    <t>Xây dựng 02 cầu tải trọng HL-93</t>
  </si>
  <si>
    <t>1194 /QĐ-UBND.HC  ngày 24/8/2021 của UBND huyện</t>
  </si>
  <si>
    <t>c.2</t>
  </si>
  <si>
    <t>931/QĐ-UBND.HC ngày 14/7/2021 của UBND Tỉnh</t>
  </si>
  <si>
    <t>1019/QĐ-UBND.HC ngày 26/7/2021 của UBND Tỉnh</t>
  </si>
  <si>
    <t>1020/QĐ-UBND.HC ngày 26/7/2021 của UBND Tỉnh</t>
  </si>
  <si>
    <t>997/QĐ-UBND.HC ngày 23/7/2021 của UBND Tỉnh</t>
  </si>
  <si>
    <t>1849/QĐ-UBND.HC ngày 06/12/2021 của UBND Tỉnh</t>
  </si>
  <si>
    <t>7936021</t>
  </si>
  <si>
    <t>162/QĐ-UBND-HC ngày 17/5/2021; 569/QĐ-UBND-HC ngày 25/11/2021 của UBND huyện</t>
  </si>
  <si>
    <t>7890181</t>
  </si>
  <si>
    <t>568/QĐ-UBND-HC ngày 25/11/2021 của UBND huyện</t>
  </si>
  <si>
    <t>- Xây dựng tuyến ĐT.857 (đoạn QL30- ĐT.845)</t>
  </si>
  <si>
    <t>969/QĐ-UBND-HC ngày 19/07/2021; 1338/QĐ-UBND-HC ngày 07/09/2021 của UBND Tỉnh</t>
  </si>
  <si>
    <t>Dài 2.700m</t>
  </si>
  <si>
    <t>Chương trình mục tiêu Quốc gia Giảm nghèo bền vững</t>
  </si>
  <si>
    <t>H. Lấp Vò</t>
  </si>
  <si>
    <t>464/QĐ-UBND ngày 02/6/2022 của UBND huyện</t>
  </si>
  <si>
    <t>861/QĐ-UBND.HC  ngày 27/6/2022 của UBND huyện</t>
  </si>
  <si>
    <t>1838/QĐ-UBND ngày 29/11/2021 của UBND huyện</t>
  </si>
  <si>
    <t>888/QĐ-UBND-HC ngày 29/6/2022 của UBND huyện</t>
  </si>
  <si>
    <t>885/QĐ-UBND-HC ngày 29/6/2022 của UBND huyện</t>
  </si>
  <si>
    <t>a.1.2</t>
  </si>
  <si>
    <t>Số:  120/QĐ-UBND.HC ngày  24/3/2021 của UBND huyện; TMĐT 130,466</t>
  </si>
  <si>
    <t>Đơn vị tính: Triệu đồng</t>
  </si>
  <si>
    <t>10e</t>
  </si>
  <si>
    <t>Nhiệm vụ chuẩn bị đầu tư và thanh toán chi phí tất toán công trình hoàn thành</t>
  </si>
  <si>
    <t>Nhiệm vụ chuẩn bị đầu tư; thanh toán chi phí tất toán công trình hoàn thành</t>
  </si>
  <si>
    <t>768/QĐ-UBND.HC ngày 14/7/2022 của UBND Tỉnh</t>
  </si>
  <si>
    <t>Nguồn thu cổ phần hóa, thoái vốn doanh nghiệp địa phương</t>
  </si>
  <si>
    <t>*Ghi chú:</t>
  </si>
  <si>
    <t>316/QĐ-UBND.ĐTXD ngày 28/12/2020 và 319/QĐ-UBND.ĐTXD ngày 08/10/2021 của UBND huyện</t>
  </si>
  <si>
    <t>317/QĐ-UBND.ĐTXD ngày 28/12/2020 và 331/QĐ-UBND.ĐTXD ngày 18/10/2021 của UBND huyện</t>
  </si>
  <si>
    <t>318/QĐ-UBND.ĐTXD ngày 28/12/2020 và 331/QĐ-UBND.ĐTXD ngày 18/10/2021 của UBND huyện</t>
  </si>
  <si>
    <t xml:space="preserve">1465/QĐ-UBND.HC ngày 28/9/2021 (CTĐT) của UBND Tỉnh </t>
  </si>
  <si>
    <t>Đơn vị tính: triệu đồng</t>
  </si>
  <si>
    <t>TH, Lvò</t>
  </si>
  <si>
    <t>Gồm:
- DA Xử lý cấp bách sạt lở sông Tiền khu vực xã Tân Mỹ, xã Mỹ An Hưng B, huyện Lấp Vò: 230 tỷ đồng (năm 2022 đã đề nghị 60 tỷ đồng)
- Dự án đầu tư nâng cấp và mua sắm trang thiết bị cho 02 Trung tâm Y tế tuyến huyện, tỉnh Đồng Tháp: 121,95 tỷ đồng (năm 2022 đã đề nghị 13,55 tỷ đồng)</t>
  </si>
  <si>
    <t>Lũy kế bố trí vốn đến hết KH năm 2022</t>
  </si>
  <si>
    <t xml:space="preserve">- Hoàn thiện mặt đường nội ô thị trấn Mỹ Thọ </t>
  </si>
  <si>
    <t xml:space="preserve">Bảo vệ môi trường </t>
  </si>
  <si>
    <t>Trung tâm Phát triển quỹ đất (Sở Tài nguyên và Môi trường)</t>
  </si>
  <si>
    <t>2018-2023</t>
  </si>
  <si>
    <t>A.1</t>
  </si>
  <si>
    <t>(*)</t>
  </si>
  <si>
    <t>(Kèm theo Tờ trình số            /TTr-UBND ngày         tháng 11 năm 2022 của Ủy ban nhân dân Tỉnh)</t>
  </si>
  <si>
    <t>KH đầu tư công trung hạn vốn NSNN giai đoạn 2021-2025 do Tỉnh quản lý và phân bổ</t>
  </si>
  <si>
    <t>Chương trình phục hồi và phát triển kinh tế - xã hội</t>
  </si>
  <si>
    <t>Dài 2.200m</t>
  </si>
  <si>
    <t>1071/QĐ-UBND-HC ngày 04/10/2022 của UBND tỉnh</t>
  </si>
  <si>
    <t>ĐT</t>
  </si>
  <si>
    <t>769/QĐ-TTg ngày 24/6/2022 của TTCP</t>
  </si>
  <si>
    <t>Trong đó: vốn NSNN  giai đoạn 2021-2025</t>
  </si>
  <si>
    <t>2022-2027</t>
  </si>
  <si>
    <t>Dài 16km</t>
  </si>
  <si>
    <t>- Dự án thành phần 1 của Dự án xây dựng công trình đường bộ cao tốc Cao Lãnh - An Hữu giai đoạn 1</t>
  </si>
  <si>
    <t>d.1.1</t>
  </si>
  <si>
    <t>d.2</t>
  </si>
  <si>
    <t>d.2.1</t>
  </si>
  <si>
    <t>d.2.2</t>
  </si>
  <si>
    <t>d.3</t>
  </si>
  <si>
    <t>d.3.1</t>
  </si>
  <si>
    <t>- Xử lý cấp bách sạt lở bờ sông Tiền khu vực xã Tân Mỹ, xã Mỹ An Hưng B, huyện Lấp Vò, tỉnh Đồng Tháp</t>
  </si>
  <si>
    <t>- Hạ tầng kỹ thuật Khu kinh tế cửa khẩu Đồng tháp (giai đoạn 3)</t>
  </si>
  <si>
    <t>- Nâng cấp đường ĐT.841 và xây dựng mới cầu Sở Thượng 2</t>
  </si>
  <si>
    <t>- Nâng cấp hệ cầu trên đường ĐT.844 (đoạn Tràm Chim - Trường Xuân)</t>
  </si>
  <si>
    <t>- Hệ thống đê bao nhằm ứng phó biến đổi khí hậu, bảo vệ đời sống của người dân thị trấn Tràm Chim, huyện Tam Nông, tỉnh Đồng Tháp</t>
  </si>
  <si>
    <t>Đầu tư hoàn chỉnh kết cấu hạ tầng tại CK Thường Phước, Dinh Bà, Mộc Rá, Bình Phú, Thổng Bình</t>
  </si>
  <si>
    <t>Dài 11,34km</t>
  </si>
  <si>
    <t>1191/QĐ-UBND.HC ngày 18/08/2021 của UBND Tỉnh</t>
  </si>
  <si>
    <t>Dài  2.005m</t>
  </si>
  <si>
    <t>Dài 2.400m</t>
  </si>
  <si>
    <t>218/QĐ-UBND-HC ngày 14/3/2022 của UBND Tỉnh</t>
  </si>
  <si>
    <t>Dài 14,9km</t>
  </si>
  <si>
    <t>- Nâng cấp mở rộng tuyến đường ĐT.842</t>
  </si>
  <si>
    <t>645/QĐ-UBND.HC ngày 28/5/2021; 1554/QĐ-UBND-HC ngày 14/10/2021 của UBND Tỉnh</t>
  </si>
  <si>
    <t>- Nâng cấp mở rộng tuyến ĐT.855 đoạn TT Tràm Chim - Hòa Bình</t>
  </si>
  <si>
    <t>646/QĐ-UBND-HC ngày 28/5/2021; 948/QĐ-UBND-HC ngày 14/7/2021; 1896/QĐ-UBND.HC ngày 14/12/2021; 663/QĐ-UBND-HC ngày 23/6/2022 của UBND Tỉnh</t>
  </si>
  <si>
    <t>- Kè Hổ Cứ, xã Hòa An, thành phố Cao Lãnh, tỉnh Đồng Tháp (nối dài về phía hạ lưu)</t>
  </si>
  <si>
    <t>- Nâng cấp Hệ thống hạ tầng phục vụ Chính quyền số và an toàn thông tin mạng tỉnh Đồng Tháp</t>
  </si>
  <si>
    <t>- Phòng chống sạt lở bờ sông để bảo vệ dân cư tại các khu vực xung yếu trên địa bàn tỉnh Đồng Tháp (khu vực xã Long Thuận và Phú Thuận A, huyện Hồng Ngự)</t>
  </si>
  <si>
    <t>638/QĐ-UBND.HC ngày 20/6/2022 của UBND Tỉnh</t>
  </si>
  <si>
    <t xml:space="preserve">1310/QĐ-UBND-HC ngày 30/10/2017, 1178/QĐ-UBND-HC ngày 28/10/2022 của UBND Tỉnh
</t>
  </si>
  <si>
    <t>Tuyến đê bao; Kè bảo vệ bờ kết hợp đê bao; trạm bơm...</t>
  </si>
  <si>
    <t>- Đường ĐT.845 đoạn Trường Xuân - Tân Phước</t>
  </si>
  <si>
    <t>- Tuyến đường D-01 nối từ cụm công nghiệp Quảng Khánh đến Quốc lộ 30 tuyến tránh thành phố Cao Lãnh</t>
  </si>
  <si>
    <t>BQL Khu kinh tế Đồng Tháp và Trung tâm Phát triển quỹ đất</t>
  </si>
  <si>
    <t>Dài 154m</t>
  </si>
  <si>
    <t>404/QĐ-UBND-HC ngày 25/04/2022 của UBND Tỉnh</t>
  </si>
  <si>
    <t xml:space="preserve">7922091
</t>
  </si>
  <si>
    <t>193/QĐ-UBND.HC ngày 30/6/2022 của UBND Huyện</t>
  </si>
  <si>
    <t>7927836</t>
  </si>
  <si>
    <t>- Bảo tồn tôn tạo và phát huy giá trị Khu di tích Nguyễn Sinh Sắc</t>
  </si>
  <si>
    <t xml:space="preserve">805/QĐ-UBND.HC ngày 21/7/2022 của UBND Tỉnh </t>
  </si>
  <si>
    <t>334/QĐ-UBND-XDCB ngày 03/11/2021 của UBND huyện</t>
  </si>
  <si>
    <t>H.LVung; TPSĐ; H.LVo; CT, TN</t>
  </si>
  <si>
    <t>7930086</t>
  </si>
  <si>
    <t>- Tu bổ, chống xuống cấp một số di tích trên địa bàn tỉnh Đồng Tháp</t>
  </si>
  <si>
    <t xml:space="preserve">1058/QĐ-UBND.HC ngày 30/9/2022 của UBND Tỉnh </t>
  </si>
  <si>
    <t>528/QĐ-UBND.HC ngày 10/5/2021; 1126/QĐ-UBND-HC ngày 10/8/2021 của UBND Tỉnh</t>
  </si>
  <si>
    <t xml:space="preserve">- Thiết bị truyền hình kỹ thuật số chuẩn HD </t>
  </si>
  <si>
    <t>- Khu liên hợp thể dục thể thao huyện Thanh Bình; HM: XDM</t>
  </si>
  <si>
    <t>25/QĐ-UBND.HC ngày 27/01/2022 của UBND huyện</t>
  </si>
  <si>
    <t>HT 2023</t>
  </si>
  <si>
    <t>- Tổ hợp thể thao xã Bình Tấn
(DK NS tỉnh hỗ trợ 2,6 tỷ đồng, trong đó XM 02 sân bóng chuyền 0,6 tỷ đồng và NC sân bóng đá 11 người 2 tỷ đồng)</t>
  </si>
  <si>
    <t>- Tổ hợp thể thao xã Tân Phú
(DK NS tỉnh hỗ trợ 2,6 tỷ đồng, trong đó XM 02 sân bóng chuyền 0,6 tỷ đồng và NC sân bóng đá 11 người 2 tỷ đồng)</t>
  </si>
  <si>
    <t>- Tổ hợp thể thao xã Tân Mỹ
(DK NS tỉnh hỗ trợ 2,6 tỷ đồng, trong đó XM 02 sân bóng chuyền 0,6 tỷ đồng và NC sân bóng đá 11 người 2 tỷ đồng)</t>
  </si>
  <si>
    <t>7922689</t>
  </si>
  <si>
    <t>13356/QĐ-UBND ngày 29/11/2021; 6156/QĐ-UBND ngày 04/11/2022 của UBND huyện</t>
  </si>
  <si>
    <t>7911487</t>
  </si>
  <si>
    <t>11175/QĐ-UBND ngày 17/9/2021; 13176/QĐ-UBND ngày 25/11/2021; 6157/QĐ-UBND ngày 04/11/2022 của UBND huyện</t>
  </si>
  <si>
    <t>- Khu liên hợp TDTT huyện Hồng Ngự
(DK. NS tỉnh hỗ trợ TC 5 tỷ đồng, trong đó: NC sân bóng đá 11 người khoảng 4 tỷ đồng, XM 02 sân bóng chuyển 0,7 tỷ đồng và XM 02 sân bi sắt 0,3 tỷ đồng)</t>
  </si>
  <si>
    <t>- Tổ hợp thể thao xã Long Khánh A
(DK NS tỉnh hỗ trợ 2,6 tỷ đồng, trong đó XM 02 sân bóng chuyền 0,6 tỷ đồng và NC sân bóng đá 11 người 2 tỷ đồng)</t>
  </si>
  <si>
    <t>7889788</t>
  </si>
  <si>
    <t>7889789</t>
  </si>
  <si>
    <t>- Đền thờ liệt sĩ huyện Hồng Ngự</t>
  </si>
  <si>
    <t>11868/QĐ-UBND ngày 28/10/2021 của UBND huyện</t>
  </si>
  <si>
    <t>TP HN, H.HN và TH</t>
  </si>
  <si>
    <t>1321/QĐ-QK ngày 15/6/2021 của Quân khu 9</t>
  </si>
  <si>
    <t>- Chốt dân Quân thường trực trên tuyến Biên giới của tỉnh Đồng Tháp năm 2020 (công trình bí mật Nhà nước)</t>
  </si>
  <si>
    <t>KCM</t>
  </si>
  <si>
    <t>- Dự án Sửa chữa Doanh trại ngành Công an, giai đoạn 2021-2025</t>
  </si>
  <si>
    <t>858/QĐ-UBND.HC ngày 05/8/2022 của UBND Tỉnh</t>
  </si>
  <si>
    <t>917/QĐ-UBND.HC ngày 16/8/2022 của UBND Tỉnh</t>
  </si>
  <si>
    <t>967/QĐ-UBND.HC ngày 26/8/2022 của UBND Tỉnh</t>
  </si>
  <si>
    <t>- Nhà làm việc Đội Cảnh sát giao thông khu vực Hồng Ngự</t>
  </si>
  <si>
    <t>- Xây dựng bổ sung cơ sở vật chất Bệnh viện Y học cổ truyền Đồng Tháp</t>
  </si>
  <si>
    <t>- Dự án Trung học phổ thông thành phố Cao Lãnh</t>
  </si>
  <si>
    <t>886/QĐ-UBND.HC ngày 07/7/2021 của UBND Tỉnh</t>
  </si>
  <si>
    <t>- Mua sắm thiết bị Mầm non giai đoạn 2021-2025</t>
  </si>
  <si>
    <t>- Mua sắm thiết bị dạy học Tin học</t>
  </si>
  <si>
    <t>34/QĐ-UBND.HC ngày 11/01/2022 của UBND Tỉnh</t>
  </si>
  <si>
    <t>828/QĐ-UBND.HC ngày 29/6/2021 của UBND Tỉnh</t>
  </si>
  <si>
    <t>5950/QĐ-UBND ngày 28/10/2022 của UBND huyện</t>
  </si>
  <si>
    <t>- Mua sắm trang, thiết bị dạy học ngoại ngữ</t>
  </si>
  <si>
    <t>1106/QĐ-UBND.HC ngày 12/10/2022 của UBND Tỉnh</t>
  </si>
  <si>
    <t>- Sửa chữa cơ sở vật chất và mua sắm trang thiết bị  Bệnh viện đa khoa khu vực Tháp Mười</t>
  </si>
  <si>
    <t>TM</t>
  </si>
  <si>
    <t>1107/QĐ-UBND.HC ngày 12/10/2022 của UBND Tỉnh</t>
  </si>
  <si>
    <t>UBND huyện Châu Thành</t>
  </si>
  <si>
    <t>Chiều dài 12,858km; mặt đường rộng (7-9)m, láng nhựa; cống ngang đường và cống thoát nước.</t>
  </si>
  <si>
    <t>1224/QĐ- UBND ngày 21/12/2020; 1006/QĐ-UBND ngày 03/11/2022 của UBND huyện</t>
  </si>
  <si>
    <t>- Trung tâm Văn hóa - Thể thao và Truyền thanh huyện Hồng Ngự (NS Tỉnh hỗ trợ có mục tiêu)</t>
  </si>
  <si>
    <t>- Xây dựng Bến phà An Phong - Tân Bình và tuyến đường kết nối</t>
  </si>
  <si>
    <t>- Mở rộng Trung tâm công nghệ xử lý môi trường Mỹ Thọ (giai đoạn 1)</t>
  </si>
  <si>
    <t>Bồi thường GPMB, diện tích 11,065ha; xây dựng các tuyến đường Đ-01 dài 505m; Đ-03 dài 314m và nâng cấp mở rộng đường Đ-05 dài khoảng 280m</t>
  </si>
  <si>
    <t>1088/QĐ-UBND-HC ngày 10/10/2022  của UBND Tỉnh</t>
  </si>
  <si>
    <t>Ban QLDA ĐTXDCT Giao thông; TTPTQĐ-Sở TNMT</t>
  </si>
  <si>
    <t>LVo</t>
  </si>
  <si>
    <t>Ban QLDA ĐXDCT Giao thông; UBND HLVo</t>
  </si>
  <si>
    <t xml:space="preserve">Cấp III - đồng bằng, chiều dài 9,8km </t>
  </si>
  <si>
    <t>2020 - 2023</t>
  </si>
  <si>
    <t>Số 1841/QĐ-UBND-HC ngày 04/12/2020 của UBND Tỉnh</t>
  </si>
  <si>
    <t>- Mở rộng đường ĐT 849 đoạn từ ĐT 848 đến Quốc lộ 80</t>
  </si>
  <si>
    <t>1841/QĐ-UBND-HC ngày 04/12/2020 của UBND Tỉnh</t>
  </si>
  <si>
    <t>Ban QLDA ĐXDCT Giao thông; TTPTQD-Sở TNMT</t>
  </si>
  <si>
    <t>Chiều dài 10,45km, cấp IV-ĐB: nền rộng 9m, mặt thảm nhựa rộng 7m; XD mới cống hộp đã xuống cấp</t>
  </si>
  <si>
    <t>- Nâng cấp đường ĐT848 đoạn từ nút giao ĐT849 đến cầu Cái Tàu Thượng</t>
  </si>
  <si>
    <t>TH</t>
  </si>
  <si>
    <t>Ban QLDA ĐXDCT Giao thông; UBND HTH</t>
  </si>
  <si>
    <t>Chiều dài 74m, rộng 8m, tải trọng HL93</t>
  </si>
  <si>
    <t>1892/QĐ-UBND-HC ngày 16/12/2020 và 1855a/QĐ-UBND-HC ngày 07/12/2021 của UBND Tỉnh</t>
  </si>
  <si>
    <t>- Xây dựng cầu Tân Thành B tuyến ĐT.843</t>
  </si>
  <si>
    <t>- Xây dựng cầu Phú Hiệp và cầu Cà Dâm, huyện Tam Nông</t>
  </si>
  <si>
    <t>658/QĐ-UBND-HC ngày 22/06/2022 của UBND Tỉnh</t>
  </si>
  <si>
    <t>- Đường bờ Nam kênh Tân Công Sính 1</t>
  </si>
  <si>
    <t>- Đường ĐH.65</t>
  </si>
  <si>
    <t>KBNN HLVò</t>
  </si>
  <si>
    <t>UBND huyện Lấp Vò</t>
  </si>
  <si>
    <t>Chiều dài 17,386km đường cấp V-ĐB</t>
  </si>
  <si>
    <t>723/QĐ-UBND.HC ngày 24/3/2021 của UBND Huyện</t>
  </si>
  <si>
    <t>Chiều dài tuyến đường 8,33km, tải trọng trục tính toán 10 tấn; công ngang đường</t>
  </si>
  <si>
    <t>177/QĐ-UBND-HC ngày 25/01/2022 của UBND huyện</t>
  </si>
  <si>
    <t>- Đường ĐH.66 (từ cầu Đình Định Yên đến giao QL.80, xã Vĩnh Thạnh)</t>
  </si>
  <si>
    <t>Chiều dài tuyến đường 12,069km; cống ngang đường, 05 cầu BTCT có khổ cầu rộng 6,1m</t>
  </si>
  <si>
    <t>KH vốn năm 2022 điều chỉnh</t>
  </si>
  <si>
    <t>Chiều dài tuyến đường 13,6km; mặt đường láng nhựa rộng 5,5m; 08 cống ngang đường</t>
  </si>
  <si>
    <t>365/QĐ-UBND-XDCB ngày 05/11/2021 của UBND huyện</t>
  </si>
  <si>
    <t>- Đường Huyện lộ số 3</t>
  </si>
  <si>
    <t>- ĐH. Long Thuận</t>
  </si>
  <si>
    <t>- Đường nối ĐT.853 mới - ĐT.853 cũ - Gỗ Đền (từ cầu Bình Tiên - cầu ngang Chợ Phú Long)</t>
  </si>
  <si>
    <t>- Đường bờ Đông kênh Mười Tải</t>
  </si>
  <si>
    <t>- ĐH. Long Phú Thuận A-B</t>
  </si>
  <si>
    <t>- ĐH. Long Khánh A-B</t>
  </si>
  <si>
    <t>HLVo</t>
  </si>
  <si>
    <t>KBNN HLVo</t>
  </si>
  <si>
    <t>Chiều dài 5,52km, nền 7,5m, mặt láng nhựa 5,5m</t>
  </si>
  <si>
    <t>298/QĐ-UBND-HC ngày 13/4/2022 của UBND huyện</t>
  </si>
  <si>
    <t>- Đường ĐH.67 (đoạn từ giao đường ĐH.65 đến giao đường ĐH.67B)</t>
  </si>
  <si>
    <t>- Xây dựng hệ thống thông tin cơ sở dữ liệu Gis phục vụ quản lý cơ sở hạ tầng giai đoạn 1, trên địa bàn huyện Cao Lãnh</t>
  </si>
  <si>
    <t>- Xây dựng hệ thống thông tin cơ sở dữ liệu Gis phục vụ quản lý cơ sở hạ tầng giai đoạn 1, trên địa bàn huyện Lấp Vò</t>
  </si>
  <si>
    <t>- Xây dựng hệ thống thông tin cơ sở dữ liệu Gis phục vụ quản lý cơ sở hạ tầng giai đoạn 1, trên địa bàn huyện Lai Vung</t>
  </si>
  <si>
    <t>- Cổng dịch vụ công và điều hành tác nghiệp nội bộ tỉnh Đồng Tháp</t>
  </si>
  <si>
    <t>Hệ thống nền tảng quản lý kho dữ liệu dùng chung và dữ liệu mở các ngành</t>
  </si>
  <si>
    <t>1153/QĐ-UBND-HC ngày 21/10/2022 của UBND Tỉnh</t>
  </si>
  <si>
    <t>- Xây dựng kho dữ liệu dùng chung và nền tảng dữ liệu mở tỉnh Đồng Tháp</t>
  </si>
  <si>
    <t>- Dự án Mua sắm thiết bị dạy học tối thiểu lớp 1</t>
  </si>
  <si>
    <t>- Dự án Mua sắm thiết bị dạy học tối thiểu lớp 2</t>
  </si>
  <si>
    <t>- Dự án Mua sắm thiết bị dạy học tối thiểu lớp 6</t>
  </si>
  <si>
    <t>608/QĐ-UBND.HC, ngày 13/6/2022 của UBND Tỉnh</t>
  </si>
  <si>
    <t>609/QĐ-UBND.HC, ngày 13/6/2022 của UBND Tỉnh</t>
  </si>
  <si>
    <t>610/QĐ-UBND.HC, ngày 13/6/2022 của UBND Tỉnh</t>
  </si>
  <si>
    <t>- Xây dựng Nhà ăn, hội trường và sửa chữa Trụ sở huyện ủy Lai Vung</t>
  </si>
  <si>
    <t>nv</t>
  </si>
  <si>
    <t>DA</t>
  </si>
  <si>
    <t>Vốn</t>
  </si>
  <si>
    <t>HT sau 2023</t>
  </si>
  <si>
    <t>Hồ sơ</t>
  </si>
  <si>
    <t>- Xây dựng hệ thống quản lý quy hoạch hạ tầng đô thị</t>
  </si>
  <si>
    <t>1121/QĐ-UBND-HC ngày 14/10/2022 của UBND tỉnh</t>
  </si>
  <si>
    <t>1659/QĐ-BQP ngày 04/6/2021 của Bộ Quốc phòng</t>
  </si>
  <si>
    <t>- Công trình bảo quản, bảo dưỡng vũ khí, trang bị kỹ thuật Bộ CHQS Tỉnh (công trình bí mật Nhà nước)</t>
  </si>
  <si>
    <t>- Hệ thống kho lưu trữ hồ sơ Công an các huyện, thành phố thuộc Công an Tỉnh</t>
  </si>
  <si>
    <t>- Nhà làm việc Phòng Cảnh sát hình sự thuộc Công an Tỉnh</t>
  </si>
  <si>
    <t>553/QĐ-UBND.HC ngày 26/5/2022 của UBND Tỉnh</t>
  </si>
  <si>
    <t>853/QĐ-UBND.HC ngày 04/8/2022 của UBND Tỉnh</t>
  </si>
  <si>
    <t>- Ngành, nghề trọng điểm giai đoạn 2021-2025 của Trường Cao đẳng Y tế Đồng Tháp</t>
  </si>
  <si>
    <t>396/QĐ-UBND.HC ngày 20/4/2022 của UBND Tỉnh</t>
  </si>
  <si>
    <t>- Dự án Trang bị bổ sung mới thiết bị chuyên môn cho 08 Trung tâm y tế có giường bệnh của tỉnh Đồng Tháp</t>
  </si>
  <si>
    <t>- Nâng cấp, mở rộng Bệnh viện Phổi</t>
  </si>
  <si>
    <t>672/QĐ-UBND-HC ngày 27/6/2022; 1018/QĐ-UBND-HC ngày 19/09/2022 của UBND Tỉnh</t>
  </si>
  <si>
    <t>Nâng cấp lên bệnh viện hạng II (300 giường)</t>
  </si>
  <si>
    <t xml:space="preserve">- Nhà trưng bày Xứ ủy Nam bộ và văn hóa Óc Eo tại Khu di tích quốc gia đặc biệt Gò Tháp, tỉnh Đồng Tháp </t>
  </si>
  <si>
    <t>- Khu liên hợp TDTT huyện Lấp Vò (DK NS tỉnh hỗ trợ 4 tỷ đồng)</t>
  </si>
  <si>
    <t>296/QĐ-UBND.HC ngày 08/4/2022 của UBND huyện</t>
  </si>
  <si>
    <t>1868/QĐ-UBND ngày 30/11/2021 của UBND huyện</t>
  </si>
  <si>
    <t>325/QĐ-UBND.ĐTXD ngày 28/12/2020 của UBND huyện</t>
  </si>
  <si>
    <t>- Tổ hợp thể thao xã Phú Thọ (DK NS tỉnh hỗ trợ 2,6 tỷ đồng, trong đó XM 02 sân bóng chuyền 0,6 tỷ đồng và NC sân bóng đá 11 người 2 tỷ đồng)</t>
  </si>
  <si>
    <t>- Tổ hợp thể thao xã Phú Đức (DK NS tỉnh hỗ trợ 2,6 tỷ đồng, trong đó XM 02 sân bóng chuyền 0,6 tỷ đồng và NC sân bóng đá 11 người 2 tỷ đồng)</t>
  </si>
  <si>
    <t>- Tổ hợp thể thao xã Tân Quới
(DK NS tỉnh hỗ trợ 2,6 tỷ đồng, trong đó XM 02 sân bóng chuyền 0,6 tỷ đồng và NC sân bóng đá 11 người 2 tỷ đồng)</t>
  </si>
  <si>
    <t>40/QĐ-UBND-XDCB ngày 24/01/2022 của UBND huyện</t>
  </si>
  <si>
    <t>- Khu liên hợp thể dục thể thao huyện Tháp Mười (DK NS tỉnh hỗ trợ 4 tỷ đồng)</t>
  </si>
  <si>
    <t>- Trụ sở UBND thị trấn Sa Rài</t>
  </si>
  <si>
    <t>156/QĐ-UBND.ĐTXD ngày 04/8/2022 của UBND huyện</t>
  </si>
  <si>
    <t>155/QĐ-UBND.ĐTXD ngày 02/8/2022 của UBND huyện</t>
  </si>
  <si>
    <t>- Trụ sở UBND xã Tân Nhuận Đông</t>
  </si>
  <si>
    <t>568/QĐ-UBND ngày 29/6/2022 của UBND huyện</t>
  </si>
  <si>
    <t>- Trụ sở làm việc UBND xã Phú Thành A</t>
  </si>
  <si>
    <t>HTH, HHN, TPHN</t>
  </si>
  <si>
    <t>349/QĐ-UBND-HC ngày 12/4/2022 của UBND Tỉnh</t>
  </si>
  <si>
    <t xml:space="preserve">- Nâng cấp đường Huyện đoạn từ Cái Tàu Hạ đến Xẻo Mát (nhánh tuyến ĐT 854 cũ) (NS tỉnh hỗ trợ mục tiêu) </t>
  </si>
  <si>
    <t>- Kè bờ từ đoạn kè Bình Thành đến vàm Phong Mỹ</t>
  </si>
  <si>
    <t>- Nâng cấp mở rộng hệ thống cấp nước sạch nông thôn khu vực Giồng Găng, xã Tân Phước - Cà Vàng, xã Thông Bình, HTH</t>
  </si>
  <si>
    <t>1951/QĐ-UBND.HC ngày 24/12/2021; 957/QĐ-UBND-HC ngày 25/08/2022 của UBND Tỉnh</t>
  </si>
  <si>
    <t>- CDC xã Mỹ Xương</t>
  </si>
  <si>
    <t>- Cải tạo sửa chữa hạ tầng kỹ thuật CDC ấp Hồng Kỳ, xã Phú Cường</t>
  </si>
  <si>
    <t>- Cải tạo sửa chữa hạ tầng kỹ thuật CDC ấp Phú Xuân, xã Phú Đức</t>
  </si>
  <si>
    <t>5357/QĐ-UBND ngày 21/12/2020 của UBND huyện</t>
  </si>
  <si>
    <t>- Nâng cấp hệ thống giao thông thoát nước chống ngập úng thị trấn Sa Rài (Giai đoạn 2)</t>
  </si>
  <si>
    <t xml:space="preserve">807/QĐ-UBND ngày 30/9/2021 của UBND Huyện  </t>
  </si>
  <si>
    <t>284/QĐ-UBND.ĐTXD ngày 27/8/2020 của UBND huyện</t>
  </si>
  <si>
    <t>- Cầu qua kênh Hậu thị trấn Tràm Chim (Đường Tràm Chim)</t>
  </si>
  <si>
    <t>- Đường Tràm Chim nối dài (từ tiếp giáp cầu qua kênh Hậu đến đường Đ-03) - Đường Đ-03 (từ đường Tràm Chim nối dài đến đường Đ-06)</t>
  </si>
  <si>
    <t>1917/QĐ-UBND-HC ngày 30/9/2021 của UBND huyện</t>
  </si>
  <si>
    <t xml:space="preserve">1821/QĐ-UBND ngày 30/8/2021 của UBND TPHN </t>
  </si>
  <si>
    <t>- Bờ kè hoa viên cặp QL30 (cặp sông Xóm Giồng)</t>
  </si>
  <si>
    <t>- Trục đường vào khu đô thị mới đường Thống Linh</t>
  </si>
  <si>
    <t>1863/QĐ-UBND ngày 30/11/2021 của UBND huyện</t>
  </si>
  <si>
    <t>1864/QĐ-UBND ngày 30/11/2021 của UBND huyện</t>
  </si>
  <si>
    <t xml:space="preserve">- Dự án phát triển đô thị - Chợ An Long </t>
  </si>
  <si>
    <t>899/QĐ-UBND-HC ngày 30/6/2022 của UBND huyện</t>
  </si>
  <si>
    <t>- Cầu qua kênh Đường gạo</t>
  </si>
  <si>
    <t>- Đường Vành đai phía Nam (Đoạn từ Khu dân cứ Cái Tàu Hạ đến Tân Nhuận Đông)</t>
  </si>
  <si>
    <t>196/QĐ-UBND.HC ngày 30/6/2022 của UBND huyện</t>
  </si>
  <si>
    <t xml:space="preserve">- Đường trục Đ-03 (từ rạch Đốc Vàng Hạ đến đường Võ Văn Kiệt) </t>
  </si>
  <si>
    <t>- Đường D2 (đoạn từ đường Nguyễn Sinh Sắc đến đường Đào Duy Từ)</t>
  </si>
  <si>
    <t>134/QĐ-UBND.ĐTXD ngày 23/6/2022 của UBND huyện</t>
  </si>
  <si>
    <t>TỔNG SỐ:</t>
  </si>
  <si>
    <t>Theo Quyết định 1912/QĐ-UBND-HC ngày 16/11/2021 của UBND Tỉnh giao vốn trung hạn 2021-2025</t>
  </si>
  <si>
    <t>Vốn Chương trình mục tiêu quốc gia</t>
  </si>
  <si>
    <t>- Chương trình MTQG Giảm nghèo bền vững</t>
  </si>
  <si>
    <t xml:space="preserve">Vốn Chương trình phục hồi và phát triển kinh tế - xã hội </t>
  </si>
  <si>
    <t xml:space="preserve">Chủ đầu tư đề nghị  </t>
  </si>
  <si>
    <t>(Kèm theo Báo cáo số                        /BC-SKHĐT ngày             tháng 11 năm 2022 của Sở Kế hoạch và Đầu tư)</t>
  </si>
  <si>
    <t>213/QĐ-UBND-XDCB ngày 04/11/2022 của UBND thành phố</t>
  </si>
  <si>
    <t>- Trường TH Phan Đăng Lưu (giai đoạn 2)</t>
  </si>
  <si>
    <t>2125/QĐ-UBND ngày 23/12/2020 của UBND thành phố</t>
  </si>
  <si>
    <t>6338/QĐ-UBND ngày 31/12/2020 và số 7185/QĐ-UBND ngày 18/11/2022 của UBND huyện</t>
  </si>
  <si>
    <t>6339/QĐ-UBND ngày 31/12/2020 và số 7185/QĐ-UBND ngày 18/11/2022 của UBND huyện</t>
  </si>
  <si>
    <t xml:space="preserve">Số 1851/QĐ-UBND ngày 30/11/2021 của UBND Huyện  </t>
  </si>
  <si>
    <t>269/QĐ-UBND.ĐTXD ngày 19/12/2020; số 239/QĐ-UBND.ĐTXD ngày 17/11/2022 của UBND huyện</t>
  </si>
  <si>
    <t>272/QĐ-UBND.ĐTXD ngày 19/12/2020; số 237/QĐ-UBND.ĐTXD ngày 17/11/2022 của UBND huyện</t>
  </si>
  <si>
    <t>273/QĐ-UBND.ĐTXD ngày 19/12/2020; số 244/QĐ-UBND.ĐTXD ngày 17/11/2022 của UBND huyện</t>
  </si>
  <si>
    <t xml:space="preserve">319/QĐ-UBND.ĐTXD ngày 28/12/2020; số 242/QĐ-UBND.ĐTXD ngày 17/11/2022 của UBND huyện </t>
  </si>
  <si>
    <t>2020- 2023</t>
  </si>
  <si>
    <t>845/QĐ-UBND ngày 29/12/2020 và số 559/QĐ-UBND ngày 14/11/2022 của UBND huyện</t>
  </si>
  <si>
    <t xml:space="preserve"> 846/QĐ-UBND ngày 29/12/2020 và số 560/QĐ-UBND ngày 14/11/2022 của UBND huyện</t>
  </si>
  <si>
    <t>758/QĐ-UBND ngày 04/12/2020, số 830/QĐ-UBND ngày 25/12/2020 và số 561/QĐ-UBND ngày 14/11/2022 của UBND huyện</t>
  </si>
  <si>
    <t>266/QĐ-UBND.ĐTXD ngày 19/12/2020 và 289/QĐ-UBND.ĐTXD ngày 14/9/2021; số 240/QĐ-UBND.ĐTXD ngày 17/11/2022 của UBND huyện</t>
  </si>
  <si>
    <t>267/QĐ-UBND.ĐTXD ngày 19/12/2020  và 153/QĐ-UBND.ĐTXD ngày 01/7/2021; số 241/QĐ-UBND.ĐTXD ngày 17/11/2022 của UBND huyện</t>
  </si>
  <si>
    <t>268/QĐ-UBND.ĐTXD ngày 19/12/2020 và 305/QĐ-UBND.ĐTXD ngày 24/9/2021; số 243/QĐ-UBND.ĐTXD ngày 17/11/2022 của UBND huyện</t>
  </si>
  <si>
    <t>270/QĐ-UBND.ĐTXD ngày 19/12/2020 và 274/QĐ-UBND.ĐTXD ngày 11/9/2021, số 236/QĐ-UBND.ĐTXD ngày 17/11/2022 của UBND huyện</t>
  </si>
  <si>
    <t>271/QĐ-UBND.ĐTXD ngày 19/12/2020; số 109/QĐ-UBND.ĐTXD ngày 31/5/2022 của UBND huyện</t>
  </si>
  <si>
    <t>274/QĐ-UBND.ĐTXD ngày 19/12/2020; số 238/QĐ-UBND.ĐTXD ngày 17/11/2022 của UBND huyện</t>
  </si>
  <si>
    <t>320/QĐ-UBND.ĐTXD ngày 28/12/2020; số 235/QĐ-UBND.ĐTXD ngày 17/11/2022 của UBND huyện</t>
  </si>
  <si>
    <t>2125/QĐ-UBND ngày 23/12/2020 và số 1826/QĐ-UBND ngày 13/10/2022 của UBND thành phố</t>
  </si>
  <si>
    <t>Nhiệm vụ quy hoạch</t>
  </si>
  <si>
    <t>- Xây dựng nhiệm vụ lập Quy hoạch tỉnh Đồng Tháp thời kỳ 2021-2030, tầm nhìn đến năm 2050</t>
  </si>
  <si>
    <t>Toàn Tỉnh</t>
  </si>
  <si>
    <t>Sở KHĐT</t>
  </si>
  <si>
    <t>22/QĐ-UBND.HC ngày 10/01/2020; 66/QĐ-UBND-HC ngày 18/01/2021 của UBND Tỉnh</t>
  </si>
  <si>
    <t>Phân bổ theo ngành, lĩnh vực</t>
  </si>
  <si>
    <t>- Nhà làm việc Đội Cảnh sát giao thông khu vực Tháp Mười</t>
  </si>
  <si>
    <t>Hỗ trợ mục tiêu cho cấp huyện xây dựng Trung tâm Văn hoá - Học tập cộng đồng cấp xã</t>
  </si>
  <si>
    <t>- Trung tâm Văn hoá - Học tập cộng đồng xã Phong Hoà</t>
  </si>
  <si>
    <t>571/QĐ-UBND.HC ngày 01/6/2022; 1109/QĐ-UBND-HC ngày 12/10/2022 của UBND Tỉnh</t>
  </si>
  <si>
    <t xml:space="preserve">Trang bị những thiết bị cần thiết cho hoạt động phân tích thử nghiệm; kiểm tra, thanh tra chuyên ngành về tiêu chuẩn đo lường chất lượng
</t>
  </si>
  <si>
    <t>- Nâng cấp, mở rộng hệ thống cơ sở vật chất và trang thiết bị  Bệnh viện đa khoa khu vực Hồng Ngự</t>
  </si>
  <si>
    <t>HCL, HTH, HCT, HTN, HTB, HHN, H L Vò, H L Vung</t>
  </si>
  <si>
    <t>B.I</t>
  </si>
  <si>
    <t>B.II</t>
  </si>
  <si>
    <t>C.I</t>
  </si>
  <si>
    <t>C.II</t>
  </si>
  <si>
    <t>C.III</t>
  </si>
  <si>
    <t>C.IV</t>
  </si>
  <si>
    <t>C.V</t>
  </si>
  <si>
    <t>C.VI</t>
  </si>
  <si>
    <t>2017-2023</t>
  </si>
  <si>
    <t>C.VII</t>
  </si>
  <si>
    <t>C.IX</t>
  </si>
  <si>
    <t>C.XVI</t>
  </si>
  <si>
    <t>15/NQ-HĐND ngày 15/7/2022 của HĐND Tỉnh</t>
  </si>
  <si>
    <t>UBND cấp huyện, xã</t>
  </si>
  <si>
    <t>09/NQ-HĐND ngày 15/7/2022 của HĐND Tỉnh</t>
  </si>
  <si>
    <t>C.XV</t>
  </si>
  <si>
    <t>785/QĐ-UBND.HC ngày 16/6/2021 của UBND Tỉnh</t>
  </si>
  <si>
    <t>- Trụ sở UBND xã Thông Bình (hạng mục: nâng cấp, mở rộng)</t>
  </si>
  <si>
    <t>C.XII</t>
  </si>
  <si>
    <t>Hỗ trợ cấp huyện đầu tư Khu liên hợp TDTT 6 huyện và Tổ hợp thể thao 27 xã (hỗ trợ có mục tiêu)</t>
  </si>
  <si>
    <t>a.1.1.</t>
  </si>
  <si>
    <t>- Khu liên hợp TDTT huyện Lai Vung
(DK NS tỉnh hỗ trợ 5 tỷ đồng)</t>
  </si>
  <si>
    <t>- Tổ hợp thể thao xã Tân Thành
(DK NS tỉnh hỗ trợ 2,6 tỷ đồng, trong đó XM 02 sân bóng chuyền 0,6 tỷ đồng và NC sân bóng đá 11 người 2 tỷ đồng)</t>
  </si>
  <si>
    <t>- Tổ hợp thể thao xã Phong Hòa
(DK NS tỉnh hỗ trợ 2,6 tỷ đồng, trong đó XM 02 sân bóng chuyền 0,6 tỷ đồng và NC sân bóng đá 11 người 2 tỷ đồng)</t>
  </si>
  <si>
    <t>- Tổ hợp thể thao xã Bình Thạnh (DK NS tỉnh hỗ trợ 2,6 tỷ đồng, trong đó XM sân bóng chuyền 0,6 tỷ đồng và NC sân bóng đá 11 người 2 tỷ đồng)</t>
  </si>
  <si>
    <t>- Khu liên hợp TDTT huyện Tân Hồng (DK NS tỉnh hỗ trợ 5,5 tỷ đồng)</t>
  </si>
  <si>
    <t>- Tổ hợp thể thao xã Tân Công Chí (DK NS tỉnh hỗ trợ 2,0 tỷ đồng NC sân bóng đá 11 người)</t>
  </si>
  <si>
    <t>- Tổ hợp thể thao xã Tân Thành B (DK NS tỉnh hỗ trợ 2,0 tỷ đồng NC sân bóng đá 11 người)</t>
  </si>
  <si>
    <t>- Tổ hợp thể thao xã Thanh Mỹ
(DK NS tỉnh hỗ trợ 2,6 tỷ đồng, trong đó XM 02 sân bóng chuyền 0,6 tỷ đồng và NC sân bóng đá 11 người 2 tỷ đồng)</t>
  </si>
  <si>
    <t>C.VIII</t>
  </si>
  <si>
    <t>- Trường MN Gáo Giồng</t>
  </si>
  <si>
    <t>- Trường Tiểu học thị trấn Mỹ Thọ 1 (điểm chính)</t>
  </si>
  <si>
    <t>850/QĐ-UBND (Đ/C) ngày 29/12/2020 của UBND huyện</t>
  </si>
  <si>
    <t>- Trường Tiểu học Nhị Mỹ 1 (điểm chính)</t>
  </si>
  <si>
    <t>- Trường Tiểu học Phương Thịnh 1</t>
  </si>
  <si>
    <t>1153/QĐ-UBND ngày 11/9/2021 của UBND huyện</t>
  </si>
  <si>
    <t>1986/QĐ-UBND ngày 28/12/2021 của UBND huyện</t>
  </si>
  <si>
    <t>- Trường Tiểu học Phú Long (Điểm Phú Hòa)</t>
  </si>
  <si>
    <t>- Trường tiểu học Mỹ Ngãi</t>
  </si>
  <si>
    <t>- Trường tiểu học Tịnh Thới</t>
  </si>
  <si>
    <t>- Trường MN Thanh Mỹ 2</t>
  </si>
  <si>
    <t>- Trường MN Mỹ Quý 2</t>
  </si>
  <si>
    <t>- Trường TH Mỹ Quý 1</t>
  </si>
  <si>
    <t>- Trường TH Mỹ An 1 (điểm chính)</t>
  </si>
  <si>
    <t xml:space="preserve">- Trường TH Mỹ An A </t>
  </si>
  <si>
    <t>- Trường TH - THCS Thanh Mỹ (phần TH)</t>
  </si>
  <si>
    <t>102/QĐ-UBND.HC ngày 27/01/2022 của UBND Tỉnh</t>
  </si>
  <si>
    <t>- Trường THPT Hồng Ngự 3</t>
  </si>
  <si>
    <t>- Trường mầm non Tràm Chim</t>
  </si>
  <si>
    <t>- Trường THCS An Lạc</t>
  </si>
  <si>
    <t>- Trường MG Phường An Lạc</t>
  </si>
  <si>
    <t>- Trường THCS Phương Trà</t>
  </si>
  <si>
    <t>- Trường Tiểu học Gáo Giồng</t>
  </si>
  <si>
    <t>- Trường Tiểu học Tân Hội Trung 1</t>
  </si>
  <si>
    <t>- Trường Mầm non Bình Thạnh B</t>
  </si>
  <si>
    <t>- Trường Tiểu học Bình Thạnh 3</t>
  </si>
  <si>
    <t>- Trường Tiểu học Bình Thạnh 2</t>
  </si>
  <si>
    <t>- Trường Tiểu học Tân Mỹ 2 (Điểm chính)</t>
  </si>
  <si>
    <t>- Trường Mẫu giáo Phú Lợi (Điểm chính)</t>
  </si>
  <si>
    <t>- Trường THCS Phú Lợi</t>
  </si>
  <si>
    <t>- Trường Mẫu giáo Tân Mỹ (Điểm chính)</t>
  </si>
  <si>
    <t>- Trường Tiểu học Bình Tấn 2 (Điểm chính)</t>
  </si>
  <si>
    <t>- Trường Tiểu học Thị trấn 2 (Điểm chính)</t>
  </si>
  <si>
    <t>- Trường tiểu học Phú Cường B (điểm chính)</t>
  </si>
  <si>
    <t>- Trường tiểu học - THCS Phú Thành B</t>
  </si>
  <si>
    <t>- Trường trung học cơ sở Phú Hiệp</t>
  </si>
  <si>
    <t>- Trường tiểu học Phú Hiệp B (điểm chính)</t>
  </si>
  <si>
    <t>- Trường mầm non Hoa Sen</t>
  </si>
  <si>
    <t>- Trường Tiểu học Tân Thành 3</t>
  </si>
  <si>
    <t>- Trường THCS Long Hậu</t>
  </si>
  <si>
    <t>45/QĐ-UBND-XDCB ngày 25/01/2022 của UBND huyện</t>
  </si>
  <si>
    <t>44/QĐ-UBND-XDCB ngày 25/01/2022 của UBND huyện</t>
  </si>
  <si>
    <t>43/QĐ-UBND-XDCB ngày 25/01/2022 của UBND huyện</t>
  </si>
  <si>
    <t>42/QĐ-UBND-XDCB ngày 25/01/2022 của UBND huyện</t>
  </si>
  <si>
    <t>- Trường TH An Thạnh 1</t>
  </si>
  <si>
    <t>- Trường MN Đốc Binh Kiều 1</t>
  </si>
  <si>
    <t>- Trường MN Mỹ Hòa</t>
  </si>
  <si>
    <t>- Trường MN Mỹ Quý 1</t>
  </si>
  <si>
    <t>- Trường TH Tân Kiều 3</t>
  </si>
  <si>
    <t>- Trường THCS TT Mỹ An</t>
  </si>
  <si>
    <t>- Trường THCS Tân Kiều</t>
  </si>
  <si>
    <t>- Trường Tiểu học Phú Điền 1</t>
  </si>
  <si>
    <t>- Trường MG Thường Thới Tiền</t>
  </si>
  <si>
    <t>- Trường TH Phú Thuận B3</t>
  </si>
  <si>
    <t>- Trường TH Thường Thới  Hậu A</t>
  </si>
  <si>
    <t>- Trường THCS Long Thuận</t>
  </si>
  <si>
    <t>- Trường THCS Long Khánh A</t>
  </si>
  <si>
    <t>1985/QĐ-UBND ngày 28/12/2021 của UBND huyện</t>
  </si>
  <si>
    <t>1987/QĐ-UBND ngày 28/12/2021 của UBND huyện</t>
  </si>
  <si>
    <t>1984/QĐ-UBND ngày 28/12/2021 của UBND huyện</t>
  </si>
  <si>
    <t>- Trường mầm non Hương Sen</t>
  </si>
  <si>
    <t>- Trường THCS thống Linh</t>
  </si>
  <si>
    <t>C.XIII</t>
  </si>
  <si>
    <t>Ban QLDA ĐTXD CT NN&amp;PTNT tỉnh; UBND huyện Lấp Vò</t>
  </si>
  <si>
    <t>- Bờ kè Dinh Ông, xã Tân Thạnh (NS Tỉnh hỗ trợ mục tiêu)</t>
  </si>
  <si>
    <t>TB</t>
  </si>
  <si>
    <t>*Hỗ trợ có mục tiêu cho huyện Tam Nông</t>
  </si>
  <si>
    <t>*Hỗ trợ có mục tiêu cho huyện Cao Lãnh</t>
  </si>
  <si>
    <t>* Hỗ trợ có mục tiêu cho huyện Tân Hồng</t>
  </si>
  <si>
    <t>* Hỗ trợ có mục tiêu cho huyện Tam Nông</t>
  </si>
  <si>
    <t>* Hỗ trợ có mục tiêu cho huyện Lấp Vò</t>
  </si>
  <si>
    <t>* Hỗ trợ có mục tiêu cho huyện Thanh Bình</t>
  </si>
  <si>
    <t>* Hỗ trợ có mục tiêu cho huyện Lai Vung</t>
  </si>
  <si>
    <t>* Hỗ trợ có mục tiêu cho huyện Hồng Ngự</t>
  </si>
  <si>
    <t>*Hỗ trợ có mục tiêu cho huyện Châu Thành</t>
  </si>
  <si>
    <t>* Hỗ trợ có mục tiêu cho huyện Châu Thành</t>
  </si>
  <si>
    <t>* Hỗ trợ có mục tiêu cho huyện Tháp Mười</t>
  </si>
  <si>
    <t>*Hỗ trợ có mục tiêu cho huyện Lai Vung</t>
  </si>
  <si>
    <t>Dài 310m</t>
  </si>
  <si>
    <t>228/QĐ-UBND.HC ngày 18/7/2022 của UBND huyện</t>
  </si>
  <si>
    <t>- Chống chịu khí hậu tổng hợp và sinh kế bền vững Đồng bằng sông Cửu Long (MD-ICRSL) - WB9
+ Tiểu dự án Nâng cao khả năng thoát lũ và phát triển sinh kế bền vững thích ứng với khí hậu cho vùng Đồng Tháp Mười - các huyện phía Bắc tỉnh Đồng Tháp</t>
  </si>
  <si>
    <t>H.HN-TPHN-TN-TB</t>
  </si>
  <si>
    <t>1693/QĐ-BNN-HTQT ngày 09/5/2016 của Bộ NN&amp;PTNT; 1251/QĐ-UBND ngày 15/10/2018 của UBND Tỉnh</t>
  </si>
  <si>
    <t>2016-2023</t>
  </si>
  <si>
    <t>- Bố trí ổn định dân cư Dinh Bà, xã Tân Hộ Cơ, huyện Tân Hồng</t>
  </si>
  <si>
    <t>761/QĐ-UBND.HC ngày 27/5/2020; 940/QĐ-UBND.HC ngày 14/7/2021; 1227/QĐ-UBND-HC ngày 11/11/2022 của UBND Tỉnh</t>
  </si>
  <si>
    <t>C.X</t>
  </si>
  <si>
    <t>Sở GTVT; TTPTQĐ-Sở TNMT</t>
  </si>
  <si>
    <t>xây dựng kiến trúc ICT đô thị thông minh; hệ thống tiếp nhận, xử lý phản ánh hiện trường; hệ thống hỏi đáp và tiếp nhận phản ánh kiến nghị tập trung toàn tỉnh; hệ thống hỗ trợ, giám sát dịch vụ cơ bản về dịch vụ công, y tế, giáo dục, du lịch; hệ thống giám sát, tổng hợp đối với các dịch vụ công ích, sự nghiệp công</t>
  </si>
  <si>
    <t>- Dự án Triển khai Trung tâm điều hành thông minh (IoC)</t>
  </si>
  <si>
    <t>1427/QĐ-UBND-HC ngày 20/9/2021 của UBND Tỉnh</t>
  </si>
  <si>
    <t>C.XI</t>
  </si>
  <si>
    <t>1555/QĐ-UBND-HC ngày 07/10/2020; 1266/QĐ-UBND.HC ngày 18/11/2022 của UBND Tỉnh</t>
  </si>
  <si>
    <t xml:space="preserve">Số 1307/QÐ-UBND.HC ngày 24/8/2020; 1071/QÐ-UBND.HC ngày 03/8/2021; 1267/QĐ-UBND.HC ngày 18/11/2022 của UBND Tỉnh </t>
  </si>
  <si>
    <t>* Hỗ trợ có mục tiêu cho thành phố Hồng Ngự</t>
  </si>
  <si>
    <t>* Hỗ trợ có mục tiêu cho thành phố Sa Đéc</t>
  </si>
  <si>
    <t>* Hỗ trợ có mục tiêu cho huyện Cao Lãnh</t>
  </si>
  <si>
    <t>*  Hỗ trợ có mục tiêu cho huyện Lấp Vò</t>
  </si>
  <si>
    <t>*  Hỗ trợ có mục tiêu cho thành phố Hồng Ngự</t>
  </si>
  <si>
    <t>1820/QĐ-UBND ngày 30/8/2021; 2724/QĐ-UBND ngày 17/12/2021 của UBND TPHN</t>
  </si>
  <si>
    <t>* Hỗ trợ có mục tiêu cho thành phố Cao Lãnh</t>
  </si>
  <si>
    <t>Dài 2.102m</t>
  </si>
  <si>
    <t>Dài 4,124km; Nền mặt đường và hệ thống cầu cống</t>
  </si>
  <si>
    <t>- Nâng cấp, mở rộng đường Lê Lợi (đoạn từ đường Hùng Vương đến đường Trần Văn Thế)</t>
  </si>
  <si>
    <t>Dài 1,499km</t>
  </si>
  <si>
    <t>- Thảm bê tông nhựa nóng Khu hành chính và Cụm dân cư thị trấn Lai Vung</t>
  </si>
  <si>
    <t>382/QĐ-UBND-XDCB ngày 20/10/2022 của UBND huyện</t>
  </si>
  <si>
    <t xml:space="preserve">- Khu dân cư đường Đ13 </t>
  </si>
  <si>
    <t>- Khu dân cư đường Đ5</t>
  </si>
  <si>
    <t>- Khu dân cư đường Đ05 (từ đường Đ10 đến đường ĐT 848)</t>
  </si>
  <si>
    <t xml:space="preserve">169/QĐ-BQLDA-KHTH ngày 19/8/2022 của Ban QLDA ĐTXDCT Giao thông </t>
  </si>
  <si>
    <t>1353/QĐ-UBND.HC ngày 30/9/2021 của UBND huyện</t>
  </si>
  <si>
    <t>1236/QĐ-UBND.HC ngày 08/9/2021 của UBND huyện</t>
  </si>
  <si>
    <t>- Đường Ngô Quyền (đoạn từ Trần Phú đến mương tiêu đê bao phía Nam)</t>
  </si>
  <si>
    <t>- Đường Phan Bội Châu (đoạn từ đường 502 đến đê bao phía Nam)</t>
  </si>
  <si>
    <t xml:space="preserve">- Đường Võ Thị Sáu (đoạn từ đường Nguyễn Văn Tiệp đến hàng rào Công an Huyện) </t>
  </si>
  <si>
    <t>53/QĐ-UBND.ĐTXD ngày 10/3/2021 của UBND huyện</t>
  </si>
  <si>
    <t>83/QĐ-UBND.ĐTXD ngày 22/4/2021 của UBND huyện</t>
  </si>
  <si>
    <t>84/QĐ-UBND.ĐTXD ngày 22/4/2021 của UBND huyện</t>
  </si>
  <si>
    <t>- Cải tạo hạ tầng đô thị Khu hành chính huyện Hồng Ngự</t>
  </si>
  <si>
    <t xml:space="preserve">- Đường 30/4 (mở rộng) </t>
  </si>
  <si>
    <t>5626/QĐ-UBND ngày 13/10/2022 của UBND huyện</t>
  </si>
  <si>
    <t>1694/QĐ-UBND ngày 07/4/2022 của UBND huyện</t>
  </si>
  <si>
    <t>- ĐH Phú Thuận A</t>
  </si>
  <si>
    <t>Chiều dài 6,062km</t>
  </si>
  <si>
    <t>5982/QĐ-UBND ngày 29/12/2020 của UBND Huyện</t>
  </si>
  <si>
    <t>Dài 2.166m</t>
  </si>
  <si>
    <t>Dài 260m</t>
  </si>
  <si>
    <t>*Hỗ trợ có mục tiêu cho huyện Tân Hồng</t>
  </si>
  <si>
    <t>- CDC Thống Nhất</t>
  </si>
  <si>
    <t>- CDC Bắc Trang</t>
  </si>
  <si>
    <t>395/QĐ-UBND.ĐTXD ngày 19/11/2021 của UBND huyện</t>
  </si>
  <si>
    <t>394/QĐ-UBND.ĐTXD ngày 19/11/2021 của UBND huyện</t>
  </si>
  <si>
    <t>- ĐH Tân Thành Đông đoạn từ cầu Chòi Mòi đến cầu Bàu Lức</t>
  </si>
  <si>
    <t>Chiều dài 6,747km</t>
  </si>
  <si>
    <t>287/QĐ-UBND.ĐTXD ngày 28/12/2020 của UBND Huyện</t>
  </si>
  <si>
    <t>Chiều dài 5,65km. XD 01 cầu BTCT rộng 5,5m</t>
  </si>
  <si>
    <t>Cầu BTCT tải trọng thiết kế 0,5HL93</t>
  </si>
  <si>
    <t>Mặt đường láng nhựa, dài 213m, rộng 12m, vỉa hè 5m</t>
  </si>
  <si>
    <t>- Đường Đ-09 ((từ đường Trần Hưng Đạo (nay Võ Văn Kiệt) đến đường Đ-07 (đê bao biến đổi khí hậu))</t>
  </si>
  <si>
    <t>7921405</t>
  </si>
  <si>
    <t>Mặt đường láng nhựa, dài 921m, rộng 22m, vỉa hè 8m</t>
  </si>
  <si>
    <t>2291/QĐ-UBND-HC ngày 02/12/2021 của UBND huyện</t>
  </si>
  <si>
    <t xml:space="preserve">1312/QĐ-UBND.HC ngày 23/9/2021 của UBND huyện </t>
  </si>
  <si>
    <t>- Bố trí dân cư tỉnh Đồng Tháp giai đoạn 2021-2025</t>
  </si>
  <si>
    <t>HN, TB, TN, TPCL</t>
  </si>
  <si>
    <t>(Kèm theo Tờ trình số        -TTr/BCSĐ ngày          tháng 11 năm 2022 của Ban cán sự đảng Ủy ban nhân dân Tỉnh)</t>
  </si>
  <si>
    <t>(Kèm theo Tờ trình số        -TTr/BCSĐ ngày         tháng 11 năm 2022 của Ban cán sự đảng Ủy ban nhân dân Tỉnh)</t>
  </si>
  <si>
    <t>Ghi chú:</t>
  </si>
  <si>
    <r>
      <rPr>
        <b/>
        <sz val="11"/>
        <rFont val="Times New Roman"/>
        <family val="1"/>
      </rPr>
      <t>(*):</t>
    </r>
    <r>
      <rPr>
        <sz val="11"/>
        <rFont val="Times New Roman"/>
        <family val="1"/>
      </rPr>
      <t xml:space="preserve"> Giao Ủy ban nhân dân Tỉnh tiếp tục phân khai chi tiết.</t>
    </r>
  </si>
  <si>
    <t>(*) Giao Ủy ban nhân dân Tỉnh phân khai chi tiết.</t>
  </si>
  <si>
    <t>- Dự án đầu tư Nâng cấp và mua sắm trang thiết bị cho 02 Trung tâm Y tế tuyến huyện, tỉnh Đồng Tháp</t>
  </si>
  <si>
    <t>(Kèm theo Công văn số           /SKHĐT-NV ngày           tháng 11 năm 2022 của Sở Kế hoạch và Đầu tư)</t>
  </si>
  <si>
    <r>
      <rPr>
        <b/>
        <sz val="11"/>
        <color theme="0"/>
        <rFont val="Times New Roman"/>
        <family val="1"/>
      </rPr>
      <t>NSTT</t>
    </r>
    <r>
      <rPr>
        <sz val="11"/>
        <color theme="0"/>
        <rFont val="Times New Roman"/>
        <family val="1"/>
      </rPr>
      <t xml:space="preserve"> (phần vốn tỉnh quản lý)</t>
    </r>
  </si>
  <si>
    <r>
      <t xml:space="preserve">Vốn nước ngoài </t>
    </r>
    <r>
      <rPr>
        <sz val="11"/>
        <color theme="0"/>
        <rFont val="Times New Roman"/>
        <family val="1"/>
      </rPr>
      <t>(ODA)</t>
    </r>
  </si>
  <si>
    <t>1673/QĐ-UBND.HC ngày 30/12/2019; 2002/QĐ-UBND.HC ngày 31/12/2020; 895/QĐ-UBND-HC ngày 11/08/2022 của UBND tỉnh</t>
  </si>
  <si>
    <t>*</t>
  </si>
  <si>
    <t>Phụ lục 1
 KẾ HOẠCH ĐẦU TƯ CÔNG NĂM 2023 TỪ NGUỒN NGÂN SÁCH
 NHÀ NƯỚC DO TỈNH QUẢN LÝ VÀ PHÂN BỔ</t>
  </si>
  <si>
    <t>Vốn ngân sách Trung ương hỗ trợ mục tiêu</t>
  </si>
  <si>
    <t>Kế hoạch đầu tư công năm 2023</t>
  </si>
  <si>
    <t>DANH MỤC, MỨC VỐN BỐ TRÍ CÁC DỰ ÁN CỦA KẾ HOẠCH ĐẦU TƯ CÔNG NĂM 2023 
TỪ NGUỒN NGÂN SÁCH DO TỈNH QUẢN LÝ VÀ PHÂN BỔ</t>
  </si>
  <si>
    <t>Phụ lục 3</t>
  </si>
  <si>
    <t>Tổng số
 (tất cả các nguồn vốn)</t>
  </si>
  <si>
    <t>Địa điểm xây dựng</t>
  </si>
  <si>
    <t>Số dự án, chương trình</t>
  </si>
  <si>
    <t>427/QĐ-SXD ngày 11/11/2022 của Sở Xây dựng</t>
  </si>
  <si>
    <t>- Trung tâm Văn hóa - Học tập cộng đồng xã An Long</t>
  </si>
  <si>
    <t>- Trung tâm Văn hóa - Học tập cộng đồng xã Phú Hiệp</t>
  </si>
  <si>
    <t>- Trung tâm Văn hóa - Học tập cộng đồng xã Phú Thành B</t>
  </si>
  <si>
    <t>- Trung tâm Văn hóa - Học tập cộng đồng xã Phú Thành A</t>
  </si>
  <si>
    <t>- Trung tâm Văn hóa - Học tập cộng đồng xã Tân Thạnh</t>
  </si>
  <si>
    <t>Chương trình mục tiêu Quốc gia xây dựng nông thôn mới</t>
  </si>
  <si>
    <t>C.XIV</t>
  </si>
  <si>
    <t>- Đường kênh 2/9</t>
  </si>
  <si>
    <t>Kế hoạch vốn
 năm 2023</t>
  </si>
  <si>
    <t>- Chương trình MTQG Xây dựng nông thôn mới</t>
  </si>
  <si>
    <r>
      <t xml:space="preserve">Phụ lục 2
 KẾ HOẠCH ĐẦU TƯ CÔNG NĂM 2023 TỪ NGUỒN NGÂN SÁCH DO TỈNH QUẢN LÝ VÀ PHÂN BỔ
</t>
    </r>
    <r>
      <rPr>
        <b/>
        <i/>
        <sz val="20"/>
        <rFont val="Times New Roman"/>
        <family val="1"/>
      </rPr>
      <t>(Theo ngành, lĩnh vực)</t>
    </r>
  </si>
  <si>
    <t>1676/QĐ-UBND.HC ngày 30/12/2019; 1627/QĐ-UBND-HC ngày 27/10/2021; 1288/QĐ-UBND-HC ngày 22/11/2022 của UBND Tỉnh</t>
  </si>
  <si>
    <t>đ</t>
  </si>
  <si>
    <t>(Kèm theo Nghị quyết số 46/NQ-HĐND ngày 09 tháng 12 năm 2022 của  HĐND tỉnh Đồng Tháp)</t>
  </si>
  <si>
    <t>(Kèm theo  Nghị quyết số 46/NQ-HĐND ngày 09 tháng 12 năm 2022 của Hội đồng nhân dân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</si>
</sst>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_(* \(#,##0\);_(* &quot;-&quot;_);_(@_)"/>
    <numFmt numFmtId="165" formatCode="_(* #,##0.00_);_(* \(#,##0.00\);_(* &quot;-&quot;??_);_(@_)"/>
    <numFmt numFmtId="166" formatCode="&quot;True&quot;;&quot;True&quot;;&quot;False&quot;"/>
    <numFmt numFmtId="167" formatCode="_(* #,##0_);_(* \(#,##0\);_(* &quot;-&quot;??_);_(@_)"/>
    <numFmt numFmtId="168" formatCode="_(* #,##0.000_);_(* \(#,##0.000\);_(* &quot;-&quot;??_);_(@_)"/>
    <numFmt numFmtId="169" formatCode="0.0%"/>
    <numFmt numFmtId="170" formatCode="#,##0.000"/>
    <numFmt numFmtId="171" formatCode="0.000"/>
  </numFmts>
  <fonts count="55">
    <font>
      <sz val="11"/>
      <color theme="1"/>
      <name val="Arial"/>
      <family val="2"/>
      <scheme val="minor"/>
    </font>
    <font>
      <sz val="11"/>
      <color theme="1"/>
      <name val="Times New Roman"/>
      <family val="1"/>
    </font>
    <font>
      <b/>
      <sz val="11"/>
      <color theme="1"/>
      <name val="Times New Roman"/>
      <family val="1"/>
    </font>
    <font>
      <sz val="11"/>
      <color theme="1"/>
      <name val="Arial"/>
      <family val="2"/>
      <scheme val="minor"/>
    </font>
    <font>
      <sz val="14"/>
      <name val="Times New Roman"/>
      <family val="1"/>
    </font>
    <font>
      <sz val="12"/>
      <name val="Times New Roman"/>
      <family val="1"/>
    </font>
    <font>
      <sz val="10"/>
      <name val="Arial"/>
      <family val="2"/>
    </font>
    <font>
      <sz val="11"/>
      <name val="Times New Roman"/>
      <family val="1"/>
    </font>
    <font>
      <b/>
      <sz val="11"/>
      <name val="Times New Roman"/>
      <family val="1"/>
    </font>
    <font>
      <i/>
      <sz val="11"/>
      <name val="Times New Roman"/>
      <family val="1"/>
    </font>
    <font>
      <sz val="11"/>
      <color rgb="FFFF0000"/>
      <name val="Times New Roman"/>
      <family val="1"/>
    </font>
    <font>
      <b/>
      <sz val="14"/>
      <name val="Times New Roman"/>
      <family val="1"/>
    </font>
    <font>
      <i/>
      <sz val="14"/>
      <name val="Times New Roman"/>
      <family val="1"/>
    </font>
    <font>
      <sz val="11"/>
      <color indexed="8"/>
      <name val="Calibri"/>
      <family val="2"/>
    </font>
    <font>
      <b/>
      <u/>
      <sz val="11"/>
      <name val="Times New Roman"/>
      <family val="1"/>
    </font>
    <font>
      <b/>
      <sz val="9"/>
      <color indexed="81"/>
      <name val="Tahoma"/>
      <family val="2"/>
    </font>
    <font>
      <sz val="9"/>
      <color indexed="81"/>
      <name val="Tahoma"/>
      <family val="2"/>
    </font>
    <font>
      <sz val="14"/>
      <name val=".VnTime"/>
      <family val="2"/>
    </font>
    <font>
      <sz val="11"/>
      <color theme="1"/>
      <name val="Calibri"/>
      <family val="2"/>
      <charset val="163"/>
    </font>
    <font>
      <sz val="10"/>
      <name val="Helv"/>
      <family val="2"/>
    </font>
    <font>
      <sz val="12"/>
      <name val="Times New Roman"/>
      <family val="1"/>
      <charset val="163"/>
    </font>
    <font>
      <sz val="12"/>
      <name val="VNI-Times"/>
    </font>
    <font>
      <sz val="13"/>
      <name val="Times New Roman"/>
      <family val="1"/>
    </font>
    <font>
      <b/>
      <sz val="11"/>
      <color rgb="FFFF0000"/>
      <name val="Times New Roman"/>
      <family val="1"/>
    </font>
    <font>
      <i/>
      <sz val="12"/>
      <name val="Times New Roman"/>
      <family val="1"/>
    </font>
    <font>
      <b/>
      <sz val="13"/>
      <name val="Times New Roman"/>
      <family val="1"/>
    </font>
    <font>
      <b/>
      <i/>
      <sz val="13"/>
      <name val="Times New Roman"/>
      <family val="1"/>
    </font>
    <font>
      <i/>
      <sz val="13"/>
      <name val="Times New Roman"/>
      <family val="1"/>
    </font>
    <font>
      <b/>
      <u/>
      <sz val="13"/>
      <name val="Times New Roman"/>
      <family val="1"/>
    </font>
    <font>
      <b/>
      <i/>
      <u/>
      <sz val="13"/>
      <name val="Times New Roman"/>
      <family val="1"/>
    </font>
    <font>
      <u/>
      <sz val="13"/>
      <name val="Times New Roman"/>
      <family val="1"/>
    </font>
    <font>
      <sz val="11"/>
      <color theme="0"/>
      <name val="Times New Roman"/>
      <family val="1"/>
    </font>
    <font>
      <b/>
      <i/>
      <sz val="11"/>
      <name val="Times New Roman"/>
      <family val="1"/>
    </font>
    <font>
      <sz val="11"/>
      <name val="Arial"/>
      <family val="2"/>
      <scheme val="minor"/>
    </font>
    <font>
      <b/>
      <u/>
      <sz val="12"/>
      <name val="Times New Roman"/>
      <family val="1"/>
    </font>
    <font>
      <u/>
      <sz val="12"/>
      <name val="Arial"/>
      <family val="2"/>
      <scheme val="minor"/>
    </font>
    <font>
      <sz val="12"/>
      <name val="Arial"/>
      <family val="2"/>
      <scheme val="minor"/>
    </font>
    <font>
      <i/>
      <sz val="12"/>
      <name val="Arial"/>
      <family val="2"/>
      <scheme val="minor"/>
    </font>
    <font>
      <i/>
      <sz val="10"/>
      <name val="Arial"/>
      <family val="2"/>
      <scheme val="minor"/>
    </font>
    <font>
      <i/>
      <sz val="11"/>
      <color theme="1"/>
      <name val="Times New Roman"/>
      <family val="1"/>
    </font>
    <font>
      <u/>
      <sz val="11"/>
      <color theme="10"/>
      <name val="Arial"/>
      <family val="2"/>
      <scheme val="minor"/>
    </font>
    <font>
      <b/>
      <sz val="11"/>
      <color theme="0"/>
      <name val="Times New Roman"/>
      <family val="1"/>
    </font>
    <font>
      <b/>
      <u/>
      <sz val="11"/>
      <color theme="0"/>
      <name val="Times New Roman"/>
      <family val="1"/>
    </font>
    <font>
      <i/>
      <sz val="11"/>
      <color theme="0"/>
      <name val="Times New Roman"/>
      <family val="1"/>
    </font>
    <font>
      <b/>
      <i/>
      <sz val="11"/>
      <color theme="0"/>
      <name val="Times New Roman"/>
      <family val="1"/>
    </font>
    <font>
      <i/>
      <sz val="11"/>
      <color rgb="FFFF0000"/>
      <name val="Times New Roman"/>
      <family val="1"/>
    </font>
    <font>
      <sz val="12"/>
      <color rgb="FFFF0000"/>
      <name val="Times New Roman"/>
      <family val="1"/>
    </font>
    <font>
      <u/>
      <sz val="13"/>
      <name val="Arial"/>
      <family val="2"/>
      <scheme val="minor"/>
    </font>
    <font>
      <i/>
      <sz val="13"/>
      <name val="Arial"/>
      <family val="2"/>
      <scheme val="minor"/>
    </font>
    <font>
      <sz val="13"/>
      <name val="Arial"/>
      <family val="2"/>
      <scheme val="minor"/>
    </font>
    <font>
      <i/>
      <sz val="18"/>
      <name val="Times New Roman"/>
      <family val="1"/>
    </font>
    <font>
      <b/>
      <sz val="20"/>
      <name val="Times New Roman"/>
      <family val="1"/>
    </font>
    <font>
      <b/>
      <i/>
      <sz val="20"/>
      <name val="Times New Roman"/>
      <family val="1"/>
    </font>
    <font>
      <sz val="20"/>
      <name val="Times New Roman"/>
      <family val="1"/>
    </font>
    <font>
      <i/>
      <sz val="20"/>
      <name val="Times New Roman"/>
      <family val="1"/>
    </font>
  </fonts>
  <fills count="5">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indexe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31">
    <xf numFmtId="0" fontId="0" fillId="0" borderId="0"/>
    <xf numFmtId="165" fontId="3" fillId="0" borderId="0" applyFont="0" applyFill="0" applyBorder="0" applyAlignment="0" applyProtection="0"/>
    <xf numFmtId="166" fontId="5" fillId="0" borderId="0" applyFont="0" applyFill="0" applyBorder="0" applyAlignment="0" applyProtection="0"/>
    <xf numFmtId="0" fontId="6" fillId="0" borderId="0"/>
    <xf numFmtId="0" fontId="5" fillId="0" borderId="0"/>
    <xf numFmtId="0" fontId="6" fillId="0" borderId="0"/>
    <xf numFmtId="0" fontId="3" fillId="0" borderId="0"/>
    <xf numFmtId="165" fontId="13" fillId="0" borderId="0" applyFont="0" applyFill="0" applyBorder="0" applyAlignment="0" applyProtection="0"/>
    <xf numFmtId="0" fontId="5" fillId="0" borderId="0"/>
    <xf numFmtId="0" fontId="5" fillId="0" borderId="0"/>
    <xf numFmtId="164" fontId="13" fillId="0" borderId="0" applyFont="0" applyFill="0" applyBorder="0" applyAlignment="0" applyProtection="0"/>
    <xf numFmtId="0" fontId="5" fillId="0" borderId="0"/>
    <xf numFmtId="165" fontId="13" fillId="0" borderId="0" applyFont="0" applyFill="0" applyBorder="0" applyAlignment="0" applyProtection="0"/>
    <xf numFmtId="9" fontId="3" fillId="0" borderId="0" applyFont="0" applyFill="0" applyBorder="0" applyAlignment="0" applyProtection="0"/>
    <xf numFmtId="165" fontId="3" fillId="0" borderId="0" applyFont="0" applyFill="0" applyBorder="0" applyAlignment="0" applyProtection="0"/>
    <xf numFmtId="165" fontId="6" fillId="0" borderId="0" applyFont="0" applyFill="0" applyBorder="0" applyAlignment="0" applyProtection="0"/>
    <xf numFmtId="0" fontId="17" fillId="0" borderId="0"/>
    <xf numFmtId="0" fontId="18" fillId="0" borderId="0"/>
    <xf numFmtId="0" fontId="19" fillId="0" borderId="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0" fontId="13" fillId="0" borderId="0"/>
    <xf numFmtId="0" fontId="13" fillId="0" borderId="0"/>
    <xf numFmtId="0" fontId="21" fillId="0" borderId="0"/>
    <xf numFmtId="0" fontId="20" fillId="0" borderId="0"/>
    <xf numFmtId="165" fontId="13" fillId="0" borderId="0" applyFont="0" applyFill="0" applyBorder="0" applyAlignment="0" applyProtection="0"/>
    <xf numFmtId="0" fontId="40" fillId="0" borderId="0" applyNumberFormat="0" applyFill="0" applyBorder="0" applyAlignment="0" applyProtection="0"/>
    <xf numFmtId="0" fontId="6" fillId="0" borderId="0"/>
    <xf numFmtId="0" fontId="3" fillId="0" borderId="0"/>
    <xf numFmtId="0" fontId="6" fillId="0" borderId="0"/>
  </cellStyleXfs>
  <cellXfs count="537">
    <xf numFmtId="0" fontId="0" fillId="0" borderId="0" xfId="0"/>
    <xf numFmtId="0" fontId="10" fillId="0" borderId="0" xfId="0" applyFont="1" applyAlignment="1">
      <alignment vertical="top"/>
    </xf>
    <xf numFmtId="0" fontId="5" fillId="0" borderId="0" xfId="4" applyAlignment="1">
      <alignment vertical="center"/>
    </xf>
    <xf numFmtId="0" fontId="7" fillId="2" borderId="1" xfId="0" applyFont="1" applyFill="1" applyBorder="1" applyAlignment="1">
      <alignment horizontal="center" vertical="top"/>
    </xf>
    <xf numFmtId="0" fontId="7" fillId="2" borderId="1" xfId="0" applyFont="1" applyFill="1" applyBorder="1" applyAlignment="1">
      <alignment horizontal="center" vertical="top" wrapText="1"/>
    </xf>
    <xf numFmtId="0" fontId="7" fillId="2" borderId="1" xfId="0" quotePrefix="1" applyFont="1" applyFill="1" applyBorder="1" applyAlignment="1">
      <alignment horizontal="center" vertical="top" wrapText="1"/>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Alignment="1">
      <alignment vertical="center"/>
    </xf>
    <xf numFmtId="0" fontId="25" fillId="0" borderId="0" xfId="0" applyFont="1" applyAlignment="1">
      <alignment vertical="center" wrapText="1"/>
    </xf>
    <xf numFmtId="0" fontId="25" fillId="0" borderId="0" xfId="0" applyFont="1" applyAlignment="1">
      <alignment horizontal="center" vertical="center" wrapText="1"/>
    </xf>
    <xf numFmtId="0" fontId="22" fillId="0" borderId="1" xfId="0" applyFont="1" applyBorder="1" applyAlignment="1">
      <alignment horizontal="center" vertical="center" wrapText="1"/>
    </xf>
    <xf numFmtId="3" fontId="25" fillId="0" borderId="0" xfId="0" applyNumberFormat="1" applyFont="1" applyAlignment="1">
      <alignment horizontal="right" vertical="center" wrapText="1"/>
    </xf>
    <xf numFmtId="3" fontId="25" fillId="0" borderId="0" xfId="0" applyNumberFormat="1" applyFont="1" applyAlignment="1">
      <alignment vertical="center" wrapText="1"/>
    </xf>
    <xf numFmtId="0" fontId="27" fillId="0" borderId="1" xfId="0" applyFont="1" applyBorder="1" applyAlignment="1">
      <alignment horizontal="center" vertical="center" wrapText="1"/>
    </xf>
    <xf numFmtId="0" fontId="27" fillId="0" borderId="0" xfId="0" applyFont="1" applyAlignment="1">
      <alignment vertical="center" wrapText="1"/>
    </xf>
    <xf numFmtId="3" fontId="29" fillId="0" borderId="0" xfId="0" applyNumberFormat="1" applyFont="1" applyAlignment="1">
      <alignment vertical="top" wrapText="1"/>
    </xf>
    <xf numFmtId="0" fontId="28" fillId="0" borderId="0" xfId="0" applyFont="1" applyAlignment="1">
      <alignment vertical="top" wrapText="1"/>
    </xf>
    <xf numFmtId="0" fontId="29" fillId="0" borderId="0" xfId="0" applyFont="1" applyAlignment="1">
      <alignment vertical="top" wrapText="1"/>
    </xf>
    <xf numFmtId="3" fontId="28" fillId="0" borderId="0" xfId="0" applyNumberFormat="1" applyFont="1" applyAlignment="1">
      <alignment vertical="top" wrapText="1"/>
    </xf>
    <xf numFmtId="3" fontId="26" fillId="0" borderId="0" xfId="0" applyNumberFormat="1" applyFont="1" applyAlignment="1">
      <alignment vertical="top" wrapText="1"/>
    </xf>
    <xf numFmtId="0" fontId="26" fillId="0" borderId="0" xfId="0" applyFont="1" applyAlignment="1">
      <alignment vertical="top" wrapText="1"/>
    </xf>
    <xf numFmtId="3" fontId="25" fillId="0" borderId="0" xfId="0" applyNumberFormat="1" applyFont="1" applyAlignment="1">
      <alignment vertical="top" wrapText="1"/>
    </xf>
    <xf numFmtId="0" fontId="25" fillId="0" borderId="0" xfId="0" applyFont="1" applyAlignment="1">
      <alignment vertical="top" wrapText="1"/>
    </xf>
    <xf numFmtId="3" fontId="25" fillId="0" borderId="0" xfId="0" applyNumberFormat="1" applyFont="1" applyAlignment="1">
      <alignment horizontal="right" vertical="top" wrapText="1"/>
    </xf>
    <xf numFmtId="3" fontId="22" fillId="0" borderId="0" xfId="0" applyNumberFormat="1" applyFont="1" applyAlignment="1">
      <alignment vertical="top" wrapText="1"/>
    </xf>
    <xf numFmtId="0" fontId="22" fillId="0" borderId="0" xfId="0" applyFont="1" applyAlignment="1">
      <alignment vertical="top" wrapText="1"/>
    </xf>
    <xf numFmtId="3" fontId="22" fillId="0" borderId="0" xfId="0" applyNumberFormat="1" applyFont="1" applyAlignment="1">
      <alignment horizontal="right" vertical="top" wrapText="1"/>
    </xf>
    <xf numFmtId="169" fontId="25" fillId="0" borderId="0" xfId="0" applyNumberFormat="1" applyFont="1" applyAlignment="1">
      <alignment vertical="top" wrapText="1"/>
    </xf>
    <xf numFmtId="0" fontId="4" fillId="0" borderId="0" xfId="0" applyFont="1" applyAlignment="1">
      <alignment horizontal="center" vertical="center" wrapText="1"/>
    </xf>
    <xf numFmtId="3" fontId="4" fillId="0" borderId="0" xfId="0" applyNumberFormat="1" applyFont="1" applyAlignment="1">
      <alignment vertical="center" wrapText="1"/>
    </xf>
    <xf numFmtId="0" fontId="11" fillId="0" borderId="0" xfId="0" applyFont="1" applyAlignment="1">
      <alignment vertical="center" wrapText="1"/>
    </xf>
    <xf numFmtId="3" fontId="4" fillId="0" borderId="0" xfId="0" applyNumberFormat="1" applyFont="1" applyAlignment="1">
      <alignment vertical="center"/>
    </xf>
    <xf numFmtId="0" fontId="11" fillId="0" borderId="0" xfId="0" applyFont="1" applyAlignment="1">
      <alignment vertical="center"/>
    </xf>
    <xf numFmtId="3" fontId="27" fillId="0" borderId="0" xfId="0" applyNumberFormat="1" applyFont="1" applyAlignment="1">
      <alignment vertical="center" wrapText="1"/>
    </xf>
    <xf numFmtId="3" fontId="27" fillId="0" borderId="0" xfId="0" applyNumberFormat="1" applyFont="1" applyAlignment="1">
      <alignment horizontal="right" vertical="center" wrapText="1"/>
    </xf>
    <xf numFmtId="1" fontId="8" fillId="0" borderId="13" xfId="3" applyNumberFormat="1" applyFont="1" applyBorder="1" applyAlignment="1">
      <alignment horizontal="center" vertical="top"/>
    </xf>
    <xf numFmtId="0" fontId="7" fillId="0" borderId="13" xfId="0" quotePrefix="1" applyFont="1" applyBorder="1" applyAlignment="1">
      <alignment horizontal="left" vertical="top" wrapText="1"/>
    </xf>
    <xf numFmtId="3" fontId="7" fillId="0" borderId="13" xfId="0" applyNumberFormat="1" applyFont="1" applyBorder="1" applyAlignment="1">
      <alignment horizontal="center" vertical="top"/>
    </xf>
    <xf numFmtId="0" fontId="7" fillId="0" borderId="13" xfId="0" applyFont="1" applyBorder="1" applyAlignment="1">
      <alignment horizontal="center" vertical="top" wrapText="1"/>
    </xf>
    <xf numFmtId="0" fontId="7" fillId="0" borderId="13" xfId="0" applyFont="1" applyBorder="1" applyAlignment="1">
      <alignment horizontal="center" vertical="top"/>
    </xf>
    <xf numFmtId="0" fontId="7" fillId="0" borderId="13" xfId="0" quotePrefix="1" applyFont="1" applyBorder="1" applyAlignment="1">
      <alignment horizontal="center" vertical="top" wrapText="1"/>
    </xf>
    <xf numFmtId="3" fontId="7" fillId="0" borderId="13" xfId="12" applyNumberFormat="1" applyFont="1" applyFill="1" applyBorder="1" applyAlignment="1">
      <alignment horizontal="right" vertical="top" wrapText="1"/>
    </xf>
    <xf numFmtId="3" fontId="8" fillId="0" borderId="13" xfId="0" applyNumberFormat="1" applyFont="1" applyBorder="1" applyAlignment="1">
      <alignment horizontal="right" vertical="top" wrapText="1"/>
    </xf>
    <xf numFmtId="3" fontId="7" fillId="0" borderId="13" xfId="1" applyNumberFormat="1" applyFont="1" applyFill="1" applyBorder="1" applyAlignment="1">
      <alignment horizontal="right" vertical="top" wrapText="1"/>
    </xf>
    <xf numFmtId="3" fontId="10" fillId="0" borderId="13" xfId="0" applyNumberFormat="1" applyFont="1" applyBorder="1" applyAlignment="1">
      <alignment horizontal="right" vertical="top" wrapText="1"/>
    </xf>
    <xf numFmtId="3" fontId="7" fillId="0" borderId="13" xfId="12" applyNumberFormat="1" applyFont="1" applyFill="1" applyBorder="1" applyAlignment="1">
      <alignment horizontal="right" vertical="top"/>
    </xf>
    <xf numFmtId="3" fontId="7" fillId="0" borderId="13" xfId="0" applyNumberFormat="1" applyFont="1" applyBorder="1" applyAlignment="1">
      <alignment horizontal="right" vertical="top" wrapText="1"/>
    </xf>
    <xf numFmtId="3" fontId="7" fillId="0" borderId="0" xfId="0" applyNumberFormat="1" applyFont="1" applyAlignment="1">
      <alignment vertical="center"/>
    </xf>
    <xf numFmtId="3" fontId="7" fillId="0" borderId="0" xfId="0" applyNumberFormat="1" applyFont="1" applyAlignment="1">
      <alignment vertical="top"/>
    </xf>
    <xf numFmtId="0" fontId="7" fillId="0" borderId="0" xfId="0" applyFont="1" applyAlignment="1">
      <alignment vertical="top"/>
    </xf>
    <xf numFmtId="0" fontId="7" fillId="0" borderId="0" xfId="0" applyFont="1"/>
    <xf numFmtId="0" fontId="7" fillId="0" borderId="1" xfId="0" applyFont="1" applyBorder="1" applyAlignment="1">
      <alignment horizontal="center" vertical="center" wrapText="1"/>
    </xf>
    <xf numFmtId="3" fontId="7" fillId="0" borderId="13" xfId="0" applyNumberFormat="1" applyFont="1" applyBorder="1" applyAlignment="1">
      <alignment horizontal="right" vertical="center" wrapText="1"/>
    </xf>
    <xf numFmtId="3" fontId="8" fillId="0" borderId="13" xfId="1" applyNumberFormat="1" applyFont="1" applyFill="1" applyBorder="1" applyAlignment="1">
      <alignment horizontal="right" vertical="top" wrapText="1"/>
    </xf>
    <xf numFmtId="3" fontId="9" fillId="0" borderId="13" xfId="1" applyNumberFormat="1" applyFont="1" applyFill="1" applyBorder="1" applyAlignment="1">
      <alignment horizontal="right" vertical="top" wrapText="1"/>
    </xf>
    <xf numFmtId="3" fontId="8" fillId="0" borderId="13" xfId="0" applyNumberFormat="1" applyFont="1" applyBorder="1" applyAlignment="1">
      <alignment horizontal="right" vertical="top"/>
    </xf>
    <xf numFmtId="3" fontId="8" fillId="0" borderId="13" xfId="0" applyNumberFormat="1" applyFont="1" applyBorder="1" applyAlignment="1">
      <alignment horizontal="right" vertical="top" shrinkToFit="1"/>
    </xf>
    <xf numFmtId="3" fontId="7" fillId="0" borderId="13" xfId="0" applyNumberFormat="1" applyFont="1" applyBorder="1" applyAlignment="1">
      <alignment horizontal="right" vertical="top" shrinkToFit="1"/>
    </xf>
    <xf numFmtId="3" fontId="7" fillId="0" borderId="13" xfId="15" applyNumberFormat="1" applyFont="1" applyFill="1" applyBorder="1" applyAlignment="1">
      <alignment horizontal="right" vertical="top"/>
    </xf>
    <xf numFmtId="3" fontId="7" fillId="0" borderId="13" xfId="21" applyNumberFormat="1" applyFont="1" applyFill="1" applyBorder="1" applyAlignment="1">
      <alignment horizontal="right" vertical="top" wrapText="1"/>
    </xf>
    <xf numFmtId="3" fontId="7" fillId="0" borderId="13" xfId="3" quotePrefix="1" applyNumberFormat="1" applyFont="1" applyBorder="1" applyAlignment="1">
      <alignment horizontal="right" vertical="top" wrapText="1"/>
    </xf>
    <xf numFmtId="3" fontId="7" fillId="0" borderId="13" xfId="3" applyNumberFormat="1" applyFont="1" applyBorder="1" applyAlignment="1">
      <alignment horizontal="right" vertical="top"/>
    </xf>
    <xf numFmtId="3" fontId="23" fillId="0" borderId="13" xfId="0" applyNumberFormat="1" applyFont="1" applyBorder="1" applyAlignment="1">
      <alignment horizontal="right" vertical="top" wrapText="1"/>
    </xf>
    <xf numFmtId="3" fontId="7" fillId="0" borderId="13" xfId="12" quotePrefix="1" applyNumberFormat="1" applyFont="1" applyFill="1" applyBorder="1" applyAlignment="1">
      <alignment horizontal="right" vertical="top" wrapText="1"/>
    </xf>
    <xf numFmtId="3" fontId="7" fillId="0" borderId="13" xfId="1" applyNumberFormat="1" applyFont="1" applyFill="1" applyBorder="1" applyAlignment="1">
      <alignment horizontal="right" vertical="top"/>
    </xf>
    <xf numFmtId="3" fontId="7" fillId="0" borderId="13" xfId="4" applyNumberFormat="1" applyFont="1" applyBorder="1" applyAlignment="1">
      <alignment horizontal="right" vertical="top"/>
    </xf>
    <xf numFmtId="3" fontId="7" fillId="0" borderId="13" xfId="12" applyNumberFormat="1" applyFont="1" applyFill="1" applyBorder="1" applyAlignment="1">
      <alignment horizontal="right" vertical="top" shrinkToFit="1"/>
    </xf>
    <xf numFmtId="3" fontId="7" fillId="0" borderId="13" xfId="0" applyNumberFormat="1" applyFont="1" applyBorder="1" applyAlignment="1">
      <alignment horizontal="right" vertical="top"/>
    </xf>
    <xf numFmtId="3" fontId="32" fillId="0" borderId="13" xfId="0" applyNumberFormat="1" applyFont="1" applyBorder="1" applyAlignment="1">
      <alignment horizontal="right" vertical="top" wrapText="1"/>
    </xf>
    <xf numFmtId="3" fontId="7" fillId="0" borderId="13" xfId="0" applyNumberFormat="1" applyFont="1" applyBorder="1" applyAlignment="1">
      <alignment horizontal="right"/>
    </xf>
    <xf numFmtId="3" fontId="7" fillId="0" borderId="18" xfId="0" applyNumberFormat="1" applyFont="1" applyBorder="1" applyAlignment="1">
      <alignment horizontal="right" vertical="top"/>
    </xf>
    <xf numFmtId="0" fontId="8" fillId="0" borderId="0" xfId="0" applyFont="1" applyAlignment="1">
      <alignment vertical="top"/>
    </xf>
    <xf numFmtId="0" fontId="7" fillId="0" borderId="0" xfId="0" applyFont="1" applyAlignment="1">
      <alignment horizontal="center" vertical="top"/>
    </xf>
    <xf numFmtId="0" fontId="8"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0" fontId="7" fillId="0" borderId="0" xfId="0" applyFont="1" applyAlignment="1">
      <alignment vertical="center"/>
    </xf>
    <xf numFmtId="0" fontId="7" fillId="0" borderId="13" xfId="0" applyFont="1" applyBorder="1" applyAlignment="1">
      <alignment horizontal="center" vertical="center" wrapText="1"/>
    </xf>
    <xf numFmtId="3" fontId="7" fillId="0" borderId="13" xfId="0" applyNumberFormat="1" applyFont="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top" wrapText="1"/>
    </xf>
    <xf numFmtId="3" fontId="8" fillId="0" borderId="0" xfId="0" applyNumberFormat="1" applyFont="1"/>
    <xf numFmtId="0" fontId="8" fillId="0" borderId="0" xfId="0" applyFont="1"/>
    <xf numFmtId="167" fontId="8" fillId="0" borderId="13" xfId="1" applyNumberFormat="1" applyFont="1" applyFill="1" applyBorder="1" applyAlignment="1">
      <alignment horizontal="right" vertical="top" wrapText="1"/>
    </xf>
    <xf numFmtId="167" fontId="7" fillId="0" borderId="13" xfId="1" applyNumberFormat="1" applyFont="1" applyFill="1" applyBorder="1" applyAlignment="1">
      <alignment horizontal="right" vertical="top" wrapText="1"/>
    </xf>
    <xf numFmtId="0" fontId="7" fillId="0" borderId="13" xfId="0" applyFont="1" applyBorder="1" applyAlignment="1">
      <alignment horizontal="center" vertical="center"/>
    </xf>
    <xf numFmtId="0" fontId="9" fillId="0" borderId="13" xfId="0" applyFont="1" applyBorder="1" applyAlignment="1">
      <alignment horizontal="right" vertical="center"/>
    </xf>
    <xf numFmtId="167" fontId="7" fillId="0" borderId="13" xfId="1" applyNumberFormat="1" applyFont="1" applyFill="1" applyBorder="1" applyAlignment="1">
      <alignment horizontal="center" vertical="top" wrapText="1"/>
    </xf>
    <xf numFmtId="0" fontId="7" fillId="0" borderId="13" xfId="0" applyFont="1" applyBorder="1" applyAlignment="1">
      <alignment horizontal="right" vertical="top" wrapText="1"/>
    </xf>
    <xf numFmtId="1" fontId="7" fillId="0" borderId="13" xfId="3" applyNumberFormat="1" applyFont="1" applyBorder="1" applyAlignment="1">
      <alignment horizontal="center" vertical="top"/>
    </xf>
    <xf numFmtId="1" fontId="7" fillId="0" borderId="13" xfId="3" applyNumberFormat="1" applyFont="1" applyBorder="1" applyAlignment="1">
      <alignment horizontal="center" vertical="top" wrapText="1"/>
    </xf>
    <xf numFmtId="167" fontId="8" fillId="0" borderId="13" xfId="0" applyNumberFormat="1" applyFont="1" applyBorder="1" applyAlignment="1">
      <alignment horizontal="center" vertical="top" wrapText="1"/>
    </xf>
    <xf numFmtId="1" fontId="7" fillId="0" borderId="13" xfId="3" quotePrefix="1" applyNumberFormat="1" applyFont="1" applyBorder="1" applyAlignment="1">
      <alignment horizontal="left" vertical="top" wrapText="1"/>
    </xf>
    <xf numFmtId="3" fontId="7" fillId="0" borderId="13" xfId="0" applyNumberFormat="1" applyFont="1" applyBorder="1" applyAlignment="1">
      <alignment horizontal="center" vertical="top" wrapText="1"/>
    </xf>
    <xf numFmtId="0" fontId="7" fillId="0" borderId="13" xfId="0" applyFont="1" applyBorder="1" applyAlignment="1">
      <alignment vertical="top"/>
    </xf>
    <xf numFmtId="3" fontId="5" fillId="0" borderId="13" xfId="0" applyNumberFormat="1" applyFont="1" applyBorder="1" applyAlignment="1">
      <alignment horizontal="right" vertical="top"/>
    </xf>
    <xf numFmtId="3" fontId="7" fillId="0" borderId="13" xfId="0" applyNumberFormat="1" applyFont="1" applyBorder="1" applyAlignment="1">
      <alignment horizontal="left" vertical="top" wrapText="1"/>
    </xf>
    <xf numFmtId="0" fontId="7" fillId="0" borderId="13" xfId="4" applyFont="1" applyBorder="1" applyAlignment="1">
      <alignment horizontal="center" vertical="top" wrapText="1"/>
    </xf>
    <xf numFmtId="3" fontId="7" fillId="0" borderId="13" xfId="16" applyNumberFormat="1" applyFont="1" applyBorder="1" applyAlignment="1">
      <alignment horizontal="right" vertical="top" shrinkToFit="1"/>
    </xf>
    <xf numFmtId="1" fontId="7" fillId="0" borderId="13" xfId="3" quotePrefix="1" applyNumberFormat="1" applyFont="1" applyBorder="1" applyAlignment="1">
      <alignment horizontal="center" vertical="top" wrapText="1"/>
    </xf>
    <xf numFmtId="0" fontId="7" fillId="0" borderId="13" xfId="0" applyFont="1" applyBorder="1" applyAlignment="1">
      <alignment vertical="top" wrapText="1"/>
    </xf>
    <xf numFmtId="0" fontId="7" fillId="0" borderId="13" xfId="10" applyNumberFormat="1" applyFont="1" applyFill="1" applyBorder="1" applyAlignment="1">
      <alignment horizontal="center" vertical="top" wrapText="1"/>
    </xf>
    <xf numFmtId="0" fontId="7" fillId="0" borderId="13" xfId="0" quotePrefix="1" applyFont="1" applyBorder="1" applyAlignment="1">
      <alignment horizontal="justify" vertical="top" wrapText="1"/>
    </xf>
    <xf numFmtId="1" fontId="7" fillId="0" borderId="13" xfId="0" applyNumberFormat="1" applyFont="1" applyBorder="1" applyAlignment="1">
      <alignment horizontal="center" vertical="top" wrapText="1"/>
    </xf>
    <xf numFmtId="3" fontId="10" fillId="0" borderId="0" xfId="0" applyNumberFormat="1" applyFont="1" applyAlignment="1">
      <alignment vertical="center"/>
    </xf>
    <xf numFmtId="3" fontId="7" fillId="0" borderId="13" xfId="3" quotePrefix="1" applyNumberFormat="1" applyFont="1" applyBorder="1" applyAlignment="1">
      <alignment horizontal="center" vertical="top" wrapText="1"/>
    </xf>
    <xf numFmtId="170" fontId="7" fillId="0" borderId="13" xfId="0" applyNumberFormat="1" applyFont="1" applyBorder="1" applyAlignment="1">
      <alignment horizontal="center" vertical="top" wrapText="1"/>
    </xf>
    <xf numFmtId="167" fontId="7" fillId="0" borderId="13" xfId="12" quotePrefix="1" applyNumberFormat="1" applyFont="1" applyFill="1" applyBorder="1" applyAlignment="1">
      <alignment horizontal="justify" vertical="top" wrapText="1"/>
    </xf>
    <xf numFmtId="167" fontId="7" fillId="0" borderId="13" xfId="1" quotePrefix="1" applyNumberFormat="1" applyFont="1" applyFill="1" applyBorder="1" applyAlignment="1">
      <alignment horizontal="center" vertical="top" wrapText="1"/>
    </xf>
    <xf numFmtId="167" fontId="7" fillId="0" borderId="13" xfId="12" applyNumberFormat="1" applyFont="1" applyFill="1" applyBorder="1" applyAlignment="1">
      <alignment horizontal="center" vertical="top" wrapText="1"/>
    </xf>
    <xf numFmtId="0" fontId="7" fillId="0" borderId="13" xfId="0" applyFont="1" applyBorder="1" applyAlignment="1">
      <alignment horizontal="justify" vertical="top" wrapText="1"/>
    </xf>
    <xf numFmtId="3" fontId="7" fillId="0" borderId="13" xfId="2" applyNumberFormat="1" applyFont="1" applyFill="1" applyBorder="1" applyAlignment="1">
      <alignment horizontal="right" vertical="top" wrapText="1"/>
    </xf>
    <xf numFmtId="167" fontId="7" fillId="0" borderId="13" xfId="26" quotePrefix="1" applyNumberFormat="1" applyFont="1" applyFill="1" applyBorder="1" applyAlignment="1">
      <alignment horizontal="center" vertical="top" wrapText="1"/>
    </xf>
    <xf numFmtId="3" fontId="7" fillId="0" borderId="13" xfId="26" quotePrefix="1" applyNumberFormat="1" applyFont="1" applyFill="1" applyBorder="1" applyAlignment="1">
      <alignment horizontal="right" vertical="top" shrinkToFit="1"/>
    </xf>
    <xf numFmtId="1" fontId="23" fillId="0" borderId="13" xfId="3" applyNumberFormat="1" applyFont="1" applyBorder="1" applyAlignment="1">
      <alignment horizontal="center" vertical="top"/>
    </xf>
    <xf numFmtId="0" fontId="10" fillId="0" borderId="13" xfId="0" applyFont="1" applyBorder="1" applyAlignment="1">
      <alignment horizontal="center" vertical="top" wrapText="1"/>
    </xf>
    <xf numFmtId="3" fontId="10" fillId="0" borderId="0" xfId="0" applyNumberFormat="1" applyFont="1" applyAlignment="1">
      <alignment vertical="top"/>
    </xf>
    <xf numFmtId="0" fontId="7" fillId="0" borderId="13" xfId="16" applyFont="1" applyBorder="1" applyAlignment="1">
      <alignment horizontal="center" vertical="top" wrapText="1"/>
    </xf>
    <xf numFmtId="0" fontId="7" fillId="0" borderId="13" xfId="12" applyNumberFormat="1" applyFont="1" applyFill="1" applyBorder="1" applyAlignment="1">
      <alignment horizontal="center" vertical="top" wrapText="1"/>
    </xf>
    <xf numFmtId="3" fontId="7" fillId="0" borderId="13" xfId="3" applyNumberFormat="1" applyFont="1" applyBorder="1" applyAlignment="1">
      <alignment horizontal="right" vertical="top" wrapText="1"/>
    </xf>
    <xf numFmtId="3" fontId="31" fillId="0" borderId="13" xfId="0" applyNumberFormat="1" applyFont="1" applyBorder="1" applyAlignment="1">
      <alignment horizontal="right" vertical="top" wrapText="1"/>
    </xf>
    <xf numFmtId="3" fontId="7" fillId="0" borderId="13" xfId="3" applyNumberFormat="1" applyFont="1" applyBorder="1" applyAlignment="1">
      <alignment horizontal="center" vertical="top"/>
    </xf>
    <xf numFmtId="0" fontId="9" fillId="0" borderId="13" xfId="0" applyFont="1" applyBorder="1" applyAlignment="1">
      <alignment horizontal="center" vertical="top" wrapText="1"/>
    </xf>
    <xf numFmtId="3" fontId="9" fillId="0" borderId="13" xfId="0" applyNumberFormat="1" applyFont="1" applyBorder="1" applyAlignment="1">
      <alignment horizontal="center" vertical="top" wrapText="1"/>
    </xf>
    <xf numFmtId="1" fontId="9" fillId="0" borderId="13" xfId="3" applyNumberFormat="1" applyFont="1" applyBorder="1" applyAlignment="1">
      <alignment horizontal="center" vertical="top" wrapText="1"/>
    </xf>
    <xf numFmtId="3" fontId="7" fillId="0" borderId="13" xfId="0" quotePrefix="1" applyNumberFormat="1" applyFont="1" applyBorder="1" applyAlignment="1">
      <alignment horizontal="justify" vertical="top" wrapText="1"/>
    </xf>
    <xf numFmtId="0" fontId="7" fillId="0" borderId="13" xfId="18" applyFont="1" applyBorder="1" applyAlignment="1">
      <alignment horizontal="center" vertical="top" wrapText="1"/>
    </xf>
    <xf numFmtId="3" fontId="8" fillId="0" borderId="13" xfId="0" applyNumberFormat="1" applyFont="1" applyBorder="1" applyAlignment="1">
      <alignment horizontal="center" vertical="top"/>
    </xf>
    <xf numFmtId="3" fontId="8" fillId="0" borderId="13" xfId="0" applyNumberFormat="1" applyFont="1" applyBorder="1" applyAlignment="1">
      <alignment horizontal="left" vertical="top" wrapText="1"/>
    </xf>
    <xf numFmtId="1" fontId="32" fillId="0" borderId="13" xfId="3" applyNumberFormat="1" applyFont="1" applyBorder="1" applyAlignment="1">
      <alignment horizontal="center" vertical="top"/>
    </xf>
    <xf numFmtId="3" fontId="9" fillId="0" borderId="13" xfId="0" applyNumberFormat="1" applyFont="1" applyBorder="1" applyAlignment="1">
      <alignment horizontal="right" vertical="top" wrapText="1"/>
    </xf>
    <xf numFmtId="3" fontId="9" fillId="0" borderId="0" xfId="0" applyNumberFormat="1" applyFont="1" applyAlignment="1">
      <alignment vertical="center"/>
    </xf>
    <xf numFmtId="3" fontId="9" fillId="0" borderId="0" xfId="0" applyNumberFormat="1" applyFont="1" applyAlignment="1">
      <alignment vertical="top"/>
    </xf>
    <xf numFmtId="0" fontId="9" fillId="0" borderId="0" xfId="0" applyFont="1" applyAlignment="1">
      <alignment vertical="top"/>
    </xf>
    <xf numFmtId="0" fontId="7" fillId="0" borderId="13" xfId="6" applyFont="1" applyBorder="1" applyAlignment="1">
      <alignment horizontal="center" vertical="top"/>
    </xf>
    <xf numFmtId="0" fontId="7" fillId="0" borderId="13" xfId="6" applyFont="1" applyBorder="1" applyAlignment="1">
      <alignment horizontal="center" vertical="top" wrapText="1"/>
    </xf>
    <xf numFmtId="1" fontId="7" fillId="0" borderId="13" xfId="3" applyNumberFormat="1" applyFont="1" applyBorder="1" applyAlignment="1">
      <alignment horizontal="center" vertical="center" wrapText="1"/>
    </xf>
    <xf numFmtId="171" fontId="7" fillId="0" borderId="13" xfId="0" applyNumberFormat="1" applyFont="1" applyBorder="1" applyAlignment="1">
      <alignment horizontal="center" vertical="top" wrapText="1"/>
    </xf>
    <xf numFmtId="3" fontId="8" fillId="0" borderId="13" xfId="3" quotePrefix="1" applyNumberFormat="1" applyFont="1" applyBorder="1" applyAlignment="1">
      <alignment horizontal="center" vertical="top" wrapText="1"/>
    </xf>
    <xf numFmtId="1" fontId="8" fillId="0" borderId="13" xfId="3" applyNumberFormat="1" applyFont="1" applyBorder="1" applyAlignment="1">
      <alignment horizontal="center" vertical="top" wrapText="1"/>
    </xf>
    <xf numFmtId="170" fontId="8" fillId="0" borderId="13" xfId="0" applyNumberFormat="1" applyFont="1" applyBorder="1" applyAlignment="1">
      <alignment horizontal="center" vertical="top" wrapText="1"/>
    </xf>
    <xf numFmtId="3" fontId="8" fillId="0" borderId="13" xfId="3" quotePrefix="1" applyNumberFormat="1" applyFont="1" applyBorder="1" applyAlignment="1">
      <alignment horizontal="right" vertical="top" wrapText="1"/>
    </xf>
    <xf numFmtId="3" fontId="8" fillId="0" borderId="13" xfId="12" applyNumberFormat="1" applyFont="1" applyFill="1" applyBorder="1" applyAlignment="1">
      <alignment horizontal="right" vertical="top"/>
    </xf>
    <xf numFmtId="3" fontId="8" fillId="0" borderId="0" xfId="0" applyNumberFormat="1" applyFont="1" applyAlignment="1">
      <alignment vertical="center"/>
    </xf>
    <xf numFmtId="0" fontId="7" fillId="0" borderId="13" xfId="0" applyFont="1" applyBorder="1"/>
    <xf numFmtId="3" fontId="7" fillId="0" borderId="13" xfId="0" quotePrefix="1" applyNumberFormat="1" applyFont="1" applyBorder="1" applyAlignment="1">
      <alignment horizontal="center" vertical="top" wrapText="1"/>
    </xf>
    <xf numFmtId="3" fontId="7" fillId="0" borderId="13" xfId="1" quotePrefix="1" applyNumberFormat="1" applyFont="1" applyFill="1" applyBorder="1" applyAlignment="1">
      <alignment horizontal="right" vertical="top" wrapText="1"/>
    </xf>
    <xf numFmtId="49" fontId="8" fillId="0" borderId="13" xfId="3" applyNumberFormat="1" applyFont="1" applyBorder="1" applyAlignment="1">
      <alignment horizontal="center" vertical="top"/>
    </xf>
    <xf numFmtId="167" fontId="8" fillId="0" borderId="13" xfId="0" applyNumberFormat="1" applyFont="1" applyBorder="1" applyAlignment="1">
      <alignment horizontal="center" vertical="top"/>
    </xf>
    <xf numFmtId="0" fontId="8" fillId="0" borderId="13" xfId="0" applyFont="1" applyBorder="1" applyAlignment="1">
      <alignment horizontal="center" vertical="top"/>
    </xf>
    <xf numFmtId="1" fontId="7" fillId="0" borderId="13" xfId="0" quotePrefix="1" applyNumberFormat="1" applyFont="1" applyBorder="1" applyAlignment="1">
      <alignment horizontal="center" vertical="top" wrapText="1"/>
    </xf>
    <xf numFmtId="0" fontId="7" fillId="0" borderId="13" xfId="17" applyFont="1" applyBorder="1" applyAlignment="1">
      <alignment horizontal="center" vertical="top" wrapText="1"/>
    </xf>
    <xf numFmtId="1" fontId="7" fillId="0" borderId="13" xfId="0" applyNumberFormat="1" applyFont="1" applyBorder="1" applyAlignment="1">
      <alignment horizontal="center" vertical="top"/>
    </xf>
    <xf numFmtId="3" fontId="7" fillId="0" borderId="13" xfId="0" quotePrefix="1" applyNumberFormat="1" applyFont="1" applyBorder="1" applyAlignment="1">
      <alignment horizontal="left" vertical="top" wrapText="1"/>
    </xf>
    <xf numFmtId="168" fontId="7" fillId="0" borderId="13" xfId="0" applyNumberFormat="1" applyFont="1" applyBorder="1" applyAlignment="1">
      <alignment horizontal="center" vertical="top" wrapText="1"/>
    </xf>
    <xf numFmtId="1" fontId="7" fillId="0" borderId="13" xfId="18" applyNumberFormat="1" applyFont="1" applyBorder="1" applyAlignment="1">
      <alignment horizontal="center" vertical="top" wrapText="1"/>
    </xf>
    <xf numFmtId="3" fontId="7" fillId="0" borderId="13" xfId="3" applyNumberFormat="1" applyFont="1" applyBorder="1" applyAlignment="1">
      <alignment horizontal="justify" vertical="top" wrapText="1"/>
    </xf>
    <xf numFmtId="3" fontId="5" fillId="0" borderId="13" xfId="0" applyNumberFormat="1" applyFont="1" applyBorder="1" applyAlignment="1">
      <alignment horizontal="center" vertical="top" wrapText="1"/>
    </xf>
    <xf numFmtId="3" fontId="7" fillId="0" borderId="13" xfId="25" applyNumberFormat="1" applyFont="1" applyBorder="1" applyAlignment="1">
      <alignment horizontal="right" vertical="top" wrapText="1"/>
    </xf>
    <xf numFmtId="3" fontId="7" fillId="0" borderId="13" xfId="3" applyNumberFormat="1" applyFont="1" applyBorder="1" applyAlignment="1">
      <alignment horizontal="center" vertical="top" wrapText="1"/>
    </xf>
    <xf numFmtId="3" fontId="7" fillId="0" borderId="13" xfId="12" applyNumberFormat="1" applyFont="1" applyFill="1" applyBorder="1" applyAlignment="1">
      <alignment horizontal="right" vertical="top" wrapText="1" shrinkToFit="1"/>
    </xf>
    <xf numFmtId="0" fontId="7" fillId="0" borderId="18" xfId="0" applyFont="1" applyBorder="1"/>
    <xf numFmtId="0" fontId="7" fillId="0" borderId="18" xfId="0" applyFont="1" applyBorder="1" applyAlignment="1">
      <alignment horizontal="center" vertical="top"/>
    </xf>
    <xf numFmtId="0" fontId="7" fillId="0" borderId="18" xfId="0" quotePrefix="1" applyFont="1" applyBorder="1" applyAlignment="1">
      <alignment horizontal="left" vertical="top" wrapText="1"/>
    </xf>
    <xf numFmtId="3" fontId="7" fillId="0" borderId="18" xfId="0" applyNumberFormat="1" applyFont="1" applyBorder="1" applyAlignment="1">
      <alignment horizontal="right"/>
    </xf>
    <xf numFmtId="0" fontId="7" fillId="0" borderId="0" xfId="0" quotePrefix="1" applyFont="1" applyAlignment="1">
      <alignment horizontal="left" vertical="top" wrapText="1"/>
    </xf>
    <xf numFmtId="0" fontId="29" fillId="0" borderId="13" xfId="4" applyFont="1" applyBorder="1" applyAlignment="1">
      <alignment horizontal="center" vertical="top"/>
    </xf>
    <xf numFmtId="0" fontId="29" fillId="0" borderId="13" xfId="0" applyFont="1" applyBorder="1" applyAlignment="1">
      <alignment vertical="top" wrapText="1"/>
    </xf>
    <xf numFmtId="3" fontId="29" fillId="0" borderId="13" xfId="0" applyNumberFormat="1" applyFont="1" applyBorder="1" applyAlignment="1">
      <alignment horizontal="right" vertical="top" wrapText="1"/>
    </xf>
    <xf numFmtId="9" fontId="29" fillId="0" borderId="13" xfId="13" applyFont="1" applyFill="1" applyBorder="1" applyAlignment="1">
      <alignment horizontal="right" vertical="top" wrapText="1"/>
    </xf>
    <xf numFmtId="0" fontId="29" fillId="0" borderId="13" xfId="0" applyFont="1" applyBorder="1" applyAlignment="1">
      <alignment horizontal="center" vertical="top" wrapText="1"/>
    </xf>
    <xf numFmtId="0" fontId="25" fillId="0" borderId="13" xfId="0" applyFont="1" applyBorder="1" applyAlignment="1">
      <alignment horizontal="center" vertical="top" wrapText="1"/>
    </xf>
    <xf numFmtId="0" fontId="25" fillId="0" borderId="13" xfId="0" quotePrefix="1" applyFont="1" applyBorder="1" applyAlignment="1">
      <alignment horizontal="left" vertical="top" wrapText="1"/>
    </xf>
    <xf numFmtId="3" fontId="26" fillId="0" borderId="13" xfId="0" applyNumberFormat="1" applyFont="1" applyBorder="1" applyAlignment="1">
      <alignment horizontal="right" vertical="top" wrapText="1"/>
    </xf>
    <xf numFmtId="10" fontId="25" fillId="0" borderId="13" xfId="0" applyNumberFormat="1" applyFont="1" applyBorder="1" applyAlignment="1">
      <alignment horizontal="right" vertical="top" wrapText="1"/>
    </xf>
    <xf numFmtId="3" fontId="25" fillId="0" borderId="13" xfId="0" applyNumberFormat="1" applyFont="1" applyBorder="1" applyAlignment="1">
      <alignment horizontal="right" vertical="top" wrapText="1"/>
    </xf>
    <xf numFmtId="169" fontId="25" fillId="0" borderId="13" xfId="0" applyNumberFormat="1" applyFont="1" applyBorder="1" applyAlignment="1">
      <alignment horizontal="right" vertical="top" wrapText="1"/>
    </xf>
    <xf numFmtId="0" fontId="26" fillId="0" borderId="13" xfId="0" applyFont="1" applyBorder="1" applyAlignment="1">
      <alignment horizontal="center" vertical="top" wrapText="1"/>
    </xf>
    <xf numFmtId="9" fontId="25" fillId="0" borderId="13" xfId="13" applyFont="1" applyFill="1" applyBorder="1" applyAlignment="1">
      <alignment horizontal="right" vertical="top" wrapText="1"/>
    </xf>
    <xf numFmtId="0" fontId="27" fillId="0" borderId="13" xfId="0" applyFont="1" applyBorder="1" applyAlignment="1">
      <alignment horizontal="center" vertical="center" wrapText="1"/>
    </xf>
    <xf numFmtId="0" fontId="27" fillId="0" borderId="13" xfId="0" applyFont="1" applyBorder="1" applyAlignment="1">
      <alignment horizontal="left" vertical="center" wrapText="1"/>
    </xf>
    <xf numFmtId="3" fontId="27" fillId="0" borderId="13" xfId="0" applyNumberFormat="1" applyFont="1" applyBorder="1" applyAlignment="1">
      <alignment horizontal="right" vertical="center" wrapText="1"/>
    </xf>
    <xf numFmtId="10" fontId="27" fillId="0" borderId="13" xfId="0" applyNumberFormat="1" applyFont="1" applyBorder="1" applyAlignment="1">
      <alignment horizontal="right" vertical="center" wrapText="1"/>
    </xf>
    <xf numFmtId="9" fontId="27" fillId="0" borderId="13" xfId="13" applyFont="1" applyFill="1" applyBorder="1" applyAlignment="1">
      <alignment horizontal="right" vertical="center" wrapText="1"/>
    </xf>
    <xf numFmtId="169" fontId="27" fillId="0" borderId="13" xfId="0" applyNumberFormat="1" applyFont="1" applyBorder="1" applyAlignment="1">
      <alignment horizontal="right" vertical="center" wrapText="1"/>
    </xf>
    <xf numFmtId="0" fontId="22" fillId="0" borderId="13" xfId="0" applyFont="1" applyBorder="1" applyAlignment="1">
      <alignment horizontal="center" vertical="top" wrapText="1"/>
    </xf>
    <xf numFmtId="0" fontId="22" fillId="0" borderId="13" xfId="0" applyFont="1" applyBorder="1" applyAlignment="1">
      <alignment horizontal="left" vertical="top" wrapText="1"/>
    </xf>
    <xf numFmtId="3" fontId="27" fillId="0" borderId="13" xfId="0" applyNumberFormat="1" applyFont="1" applyBorder="1" applyAlignment="1">
      <alignment horizontal="right" vertical="top" wrapText="1"/>
    </xf>
    <xf numFmtId="10" fontId="22" fillId="0" borderId="13" xfId="0" applyNumberFormat="1" applyFont="1" applyBorder="1" applyAlignment="1">
      <alignment horizontal="right" vertical="top" wrapText="1"/>
    </xf>
    <xf numFmtId="3" fontId="22" fillId="0" borderId="13" xfId="0" applyNumberFormat="1" applyFont="1" applyBorder="1" applyAlignment="1">
      <alignment horizontal="right" vertical="top" wrapText="1"/>
    </xf>
    <xf numFmtId="9" fontId="22" fillId="0" borderId="13" xfId="13" applyFont="1" applyFill="1" applyBorder="1" applyAlignment="1">
      <alignment horizontal="right" vertical="top" wrapText="1"/>
    </xf>
    <xf numFmtId="169" fontId="22" fillId="0" borderId="13" xfId="0" applyNumberFormat="1" applyFont="1" applyBorder="1" applyAlignment="1">
      <alignment horizontal="right" vertical="top" wrapText="1"/>
    </xf>
    <xf numFmtId="0" fontId="22" fillId="2" borderId="13" xfId="0" applyFont="1" applyFill="1" applyBorder="1" applyAlignment="1">
      <alignment horizontal="left" vertical="top" wrapText="1"/>
    </xf>
    <xf numFmtId="0" fontId="22" fillId="2" borderId="13" xfId="0" quotePrefix="1" applyFont="1" applyFill="1" applyBorder="1" applyAlignment="1">
      <alignment horizontal="left" vertical="top" wrapText="1"/>
    </xf>
    <xf numFmtId="0" fontId="25" fillId="0" borderId="13" xfId="0" quotePrefix="1" applyFont="1" applyBorder="1" applyAlignment="1">
      <alignment horizontal="center" vertical="top" wrapText="1"/>
    </xf>
    <xf numFmtId="169" fontId="27" fillId="0" borderId="13" xfId="0" applyNumberFormat="1" applyFont="1" applyBorder="1" applyAlignment="1">
      <alignment horizontal="right" vertical="top" wrapText="1"/>
    </xf>
    <xf numFmtId="3" fontId="22" fillId="2" borderId="13" xfId="3" applyNumberFormat="1" applyFont="1" applyFill="1" applyBorder="1" applyAlignment="1">
      <alignment horizontal="left" vertical="top" wrapText="1"/>
    </xf>
    <xf numFmtId="3" fontId="22" fillId="2" borderId="13" xfId="3" quotePrefix="1" applyNumberFormat="1" applyFont="1" applyFill="1" applyBorder="1" applyAlignment="1">
      <alignment horizontal="left" vertical="top" wrapText="1"/>
    </xf>
    <xf numFmtId="169" fontId="29" fillId="0" borderId="13" xfId="0" applyNumberFormat="1" applyFont="1" applyBorder="1" applyAlignment="1">
      <alignment horizontal="right" vertical="top" wrapText="1"/>
    </xf>
    <xf numFmtId="169" fontId="30" fillId="0" borderId="13" xfId="0" applyNumberFormat="1" applyFont="1" applyBorder="1" applyAlignment="1">
      <alignment horizontal="right" vertical="top" wrapText="1"/>
    </xf>
    <xf numFmtId="0" fontId="22" fillId="0" borderId="18" xfId="0" applyFont="1" applyBorder="1" applyAlignment="1">
      <alignment horizontal="center" vertical="top" wrapText="1"/>
    </xf>
    <xf numFmtId="0" fontId="22" fillId="0" borderId="18" xfId="0" applyFont="1" applyBorder="1" applyAlignment="1">
      <alignment vertical="top" wrapText="1"/>
    </xf>
    <xf numFmtId="3" fontId="22" fillId="0" borderId="18" xfId="0" applyNumberFormat="1" applyFont="1" applyBorder="1" applyAlignment="1">
      <alignment vertical="top" wrapText="1"/>
    </xf>
    <xf numFmtId="0" fontId="33" fillId="0" borderId="0" xfId="0" applyFont="1"/>
    <xf numFmtId="0" fontId="35" fillId="0" borderId="0" xfId="0" applyFont="1" applyAlignment="1">
      <alignment vertical="center"/>
    </xf>
    <xf numFmtId="0" fontId="36" fillId="0" borderId="0" xfId="0" applyFont="1"/>
    <xf numFmtId="0" fontId="5" fillId="0" borderId="0" xfId="0" applyFont="1"/>
    <xf numFmtId="0" fontId="34" fillId="0" borderId="0" xfId="0" applyFont="1"/>
    <xf numFmtId="0" fontId="37" fillId="0" borderId="0" xfId="0" applyFont="1" applyAlignment="1">
      <alignment vertical="center"/>
    </xf>
    <xf numFmtId="0" fontId="12" fillId="0" borderId="0" xfId="4" applyFont="1" applyAlignment="1">
      <alignment horizontal="center" vertical="center" wrapText="1"/>
    </xf>
    <xf numFmtId="0" fontId="38" fillId="0" borderId="0" xfId="0" applyFont="1"/>
    <xf numFmtId="3" fontId="32" fillId="0" borderId="13" xfId="1" applyNumberFormat="1" applyFont="1" applyFill="1" applyBorder="1" applyAlignment="1">
      <alignment horizontal="right" vertical="top" wrapText="1"/>
    </xf>
    <xf numFmtId="0" fontId="5" fillId="0" borderId="0" xfId="0" applyFont="1" applyAlignment="1">
      <alignment horizontal="left" vertical="top" wrapText="1"/>
    </xf>
    <xf numFmtId="3" fontId="31" fillId="0" borderId="13" xfId="1" applyNumberFormat="1" applyFont="1" applyFill="1" applyBorder="1" applyAlignment="1">
      <alignment horizontal="right" vertical="top" wrapText="1"/>
    </xf>
    <xf numFmtId="3" fontId="41" fillId="0" borderId="13" xfId="1" applyNumberFormat="1" applyFont="1" applyFill="1" applyBorder="1" applyAlignment="1">
      <alignment horizontal="right" vertical="top" wrapText="1"/>
    </xf>
    <xf numFmtId="3" fontId="43" fillId="0" borderId="13" xfId="1" applyNumberFormat="1" applyFont="1" applyFill="1" applyBorder="1" applyAlignment="1">
      <alignment horizontal="right" vertical="top" wrapText="1"/>
    </xf>
    <xf numFmtId="3" fontId="31" fillId="0" borderId="13" xfId="2" applyNumberFormat="1" applyFont="1" applyFill="1" applyBorder="1" applyAlignment="1">
      <alignment horizontal="right" vertical="top" wrapText="1"/>
    </xf>
    <xf numFmtId="3" fontId="31" fillId="0" borderId="13" xfId="12" applyNumberFormat="1" applyFont="1" applyFill="1" applyBorder="1" applyAlignment="1">
      <alignment horizontal="right" vertical="top"/>
    </xf>
    <xf numFmtId="3" fontId="31" fillId="0" borderId="13" xfId="12" applyNumberFormat="1" applyFont="1" applyFill="1" applyBorder="1" applyAlignment="1">
      <alignment horizontal="right" vertical="top" wrapText="1"/>
    </xf>
    <xf numFmtId="3" fontId="31" fillId="0" borderId="13" xfId="15" applyNumberFormat="1" applyFont="1" applyFill="1" applyBorder="1" applyAlignment="1">
      <alignment horizontal="right" vertical="top"/>
    </xf>
    <xf numFmtId="3" fontId="44" fillId="0" borderId="13" xfId="1" applyNumberFormat="1" applyFont="1" applyFill="1" applyBorder="1" applyAlignment="1">
      <alignment horizontal="right" vertical="top" wrapText="1"/>
    </xf>
    <xf numFmtId="3" fontId="31" fillId="0" borderId="13" xfId="1" applyNumberFormat="1" applyFont="1" applyFill="1" applyBorder="1" applyAlignment="1">
      <alignment horizontal="right" vertical="top"/>
    </xf>
    <xf numFmtId="3" fontId="32" fillId="0" borderId="13" xfId="15" applyNumberFormat="1" applyFont="1" applyFill="1" applyBorder="1" applyAlignment="1">
      <alignment horizontal="right" vertical="top"/>
    </xf>
    <xf numFmtId="3" fontId="44" fillId="0" borderId="13" xfId="15" applyNumberFormat="1" applyFont="1" applyFill="1" applyBorder="1" applyAlignment="1">
      <alignment horizontal="right" vertical="top"/>
    </xf>
    <xf numFmtId="169" fontId="25" fillId="0" borderId="13" xfId="13" applyNumberFormat="1" applyFont="1" applyBorder="1" applyAlignment="1">
      <alignment horizontal="right" vertical="top" wrapText="1"/>
    </xf>
    <xf numFmtId="10" fontId="25" fillId="0" borderId="13" xfId="13" applyNumberFormat="1" applyFont="1" applyBorder="1" applyAlignment="1">
      <alignment horizontal="right" vertical="top" wrapText="1"/>
    </xf>
    <xf numFmtId="0" fontId="7" fillId="0" borderId="0" xfId="0" applyFont="1" applyAlignment="1">
      <alignment horizontal="right" vertical="top"/>
    </xf>
    <xf numFmtId="0" fontId="31" fillId="0" borderId="0" xfId="0" applyFont="1"/>
    <xf numFmtId="0" fontId="41" fillId="0" borderId="1" xfId="0" applyFont="1" applyBorder="1" applyAlignment="1">
      <alignment horizontal="center" vertical="center" wrapText="1"/>
    </xf>
    <xf numFmtId="0" fontId="7" fillId="0" borderId="1" xfId="0" applyFont="1" applyBorder="1" applyAlignment="1">
      <alignment horizontal="right" vertical="center" wrapText="1"/>
    </xf>
    <xf numFmtId="0" fontId="31" fillId="0" borderId="1" xfId="0" applyFont="1" applyBorder="1" applyAlignment="1">
      <alignment horizontal="center" vertical="center" wrapText="1"/>
    </xf>
    <xf numFmtId="3" fontId="31" fillId="0" borderId="13" xfId="0" applyNumberFormat="1" applyFont="1" applyBorder="1" applyAlignment="1">
      <alignment horizontal="right" vertical="center" wrapText="1"/>
    </xf>
    <xf numFmtId="3" fontId="7" fillId="0" borderId="0" xfId="0" applyNumberFormat="1" applyFont="1"/>
    <xf numFmtId="0" fontId="8" fillId="0" borderId="13" xfId="0" applyFont="1" applyBorder="1" applyAlignment="1">
      <alignment horizontal="right" vertical="top" wrapText="1"/>
    </xf>
    <xf numFmtId="3" fontId="41" fillId="0" borderId="13" xfId="0" applyNumberFormat="1" applyFont="1" applyBorder="1" applyAlignment="1">
      <alignment horizontal="right" vertical="top"/>
    </xf>
    <xf numFmtId="3" fontId="41" fillId="0" borderId="13" xfId="0" applyNumberFormat="1" applyFont="1" applyBorder="1" applyAlignment="1">
      <alignment horizontal="right" vertical="top" wrapText="1"/>
    </xf>
    <xf numFmtId="3" fontId="44" fillId="0" borderId="13" xfId="0" applyNumberFormat="1" applyFont="1" applyBorder="1" applyAlignment="1">
      <alignment horizontal="right" vertical="top" wrapText="1"/>
    </xf>
    <xf numFmtId="1" fontId="7" fillId="0" borderId="13" xfId="3" applyNumberFormat="1" applyFont="1" applyBorder="1" applyAlignment="1">
      <alignment horizontal="right" vertical="top"/>
    </xf>
    <xf numFmtId="3" fontId="8" fillId="0" borderId="0" xfId="0" applyNumberFormat="1" applyFont="1" applyAlignment="1">
      <alignment vertical="top"/>
    </xf>
    <xf numFmtId="3" fontId="32" fillId="0" borderId="0" xfId="0" applyNumberFormat="1" applyFont="1"/>
    <xf numFmtId="49" fontId="7" fillId="0" borderId="13" xfId="3" applyNumberFormat="1" applyFont="1" applyBorder="1" applyAlignment="1">
      <alignment horizontal="right" vertical="top"/>
    </xf>
    <xf numFmtId="3" fontId="31" fillId="0" borderId="13" xfId="3" quotePrefix="1" applyNumberFormat="1" applyFont="1" applyBorder="1" applyAlignment="1">
      <alignment horizontal="right" vertical="top" wrapText="1"/>
    </xf>
    <xf numFmtId="167" fontId="7" fillId="0" borderId="13" xfId="0" applyNumberFormat="1" applyFont="1" applyBorder="1" applyAlignment="1">
      <alignment horizontal="right" vertical="top" wrapText="1"/>
    </xf>
    <xf numFmtId="1" fontId="7" fillId="0" borderId="13" xfId="3" applyNumberFormat="1" applyFont="1" applyBorder="1" applyAlignment="1">
      <alignment vertical="top"/>
    </xf>
    <xf numFmtId="0" fontId="32" fillId="0" borderId="0" xfId="0" applyFont="1" applyAlignment="1">
      <alignment vertical="top"/>
    </xf>
    <xf numFmtId="0" fontId="32" fillId="0" borderId="13" xfId="0" applyFont="1" applyBorder="1" applyAlignment="1">
      <alignment horizontal="center" vertical="top" wrapText="1"/>
    </xf>
    <xf numFmtId="167" fontId="8" fillId="0" borderId="13" xfId="0" applyNumberFormat="1" applyFont="1" applyBorder="1" applyAlignment="1">
      <alignment horizontal="right" vertical="top" wrapText="1"/>
    </xf>
    <xf numFmtId="3" fontId="8" fillId="0" borderId="13" xfId="0" applyNumberFormat="1" applyFont="1" applyBorder="1" applyAlignment="1">
      <alignment horizontal="center" vertical="top" wrapText="1"/>
    </xf>
    <xf numFmtId="0" fontId="7" fillId="0" borderId="13" xfId="23" quotePrefix="1" applyFont="1" applyBorder="1" applyAlignment="1">
      <alignment horizontal="justify" vertical="top" wrapText="1"/>
    </xf>
    <xf numFmtId="3" fontId="10" fillId="0" borderId="13" xfId="0" quotePrefix="1" applyNumberFormat="1" applyFont="1" applyBorder="1" applyAlignment="1">
      <alignment horizontal="center" vertical="top" wrapText="1"/>
    </xf>
    <xf numFmtId="3" fontId="31" fillId="0" borderId="13" xfId="0" applyNumberFormat="1" applyFont="1" applyBorder="1" applyAlignment="1">
      <alignment horizontal="right" vertical="top"/>
    </xf>
    <xf numFmtId="3" fontId="7" fillId="0" borderId="13" xfId="0" quotePrefix="1" applyNumberFormat="1" applyFont="1" applyBorder="1" applyAlignment="1">
      <alignment horizontal="right" vertical="top" wrapText="1"/>
    </xf>
    <xf numFmtId="0" fontId="7" fillId="0" borderId="13" xfId="0" applyFont="1" applyBorder="1" applyAlignment="1">
      <alignment horizontal="right" vertical="top"/>
    </xf>
    <xf numFmtId="3" fontId="32" fillId="0" borderId="13" xfId="0" applyNumberFormat="1" applyFont="1" applyBorder="1" applyAlignment="1">
      <alignment horizontal="right" vertical="top"/>
    </xf>
    <xf numFmtId="0" fontId="9" fillId="0" borderId="13" xfId="0" applyFont="1" applyBorder="1" applyAlignment="1">
      <alignment horizontal="center" vertical="top"/>
    </xf>
    <xf numFmtId="0" fontId="9" fillId="0" borderId="13" xfId="0" quotePrefix="1" applyFont="1" applyBorder="1" applyAlignment="1">
      <alignment horizontal="center" vertical="top" wrapText="1"/>
    </xf>
    <xf numFmtId="3" fontId="43" fillId="0" borderId="13" xfId="0" applyNumberFormat="1" applyFont="1" applyBorder="1" applyAlignment="1">
      <alignment horizontal="right" vertical="top" wrapText="1"/>
    </xf>
    <xf numFmtId="3" fontId="44" fillId="0" borderId="13" xfId="0" applyNumberFormat="1" applyFont="1" applyBorder="1" applyAlignment="1">
      <alignment horizontal="right" vertical="top"/>
    </xf>
    <xf numFmtId="0" fontId="10" fillId="0" borderId="13" xfId="0" quotePrefix="1" applyFont="1" applyBorder="1" applyAlignment="1">
      <alignment horizontal="center" vertical="top" wrapText="1"/>
    </xf>
    <xf numFmtId="0" fontId="32" fillId="0" borderId="0" xfId="0" applyFont="1" applyAlignment="1">
      <alignment horizontal="center" vertical="top"/>
    </xf>
    <xf numFmtId="3" fontId="32" fillId="0" borderId="13" xfId="3" quotePrefix="1" applyNumberFormat="1" applyFont="1" applyBorder="1" applyAlignment="1">
      <alignment horizontal="center" vertical="top" wrapText="1"/>
    </xf>
    <xf numFmtId="3" fontId="32" fillId="0" borderId="0" xfId="0" applyNumberFormat="1" applyFont="1" applyAlignment="1">
      <alignment vertical="center"/>
    </xf>
    <xf numFmtId="3" fontId="32" fillId="0" borderId="0" xfId="0" applyNumberFormat="1" applyFont="1" applyAlignment="1">
      <alignment vertical="top"/>
    </xf>
    <xf numFmtId="3" fontId="31" fillId="0" borderId="13" xfId="3" applyNumberFormat="1" applyFont="1" applyBorder="1" applyAlignment="1">
      <alignment horizontal="right" vertical="top" wrapText="1"/>
    </xf>
    <xf numFmtId="3" fontId="31" fillId="0" borderId="13" xfId="0" applyNumberFormat="1" applyFont="1" applyBorder="1" applyAlignment="1">
      <alignment horizontal="right" vertical="top" shrinkToFit="1"/>
    </xf>
    <xf numFmtId="3" fontId="31" fillId="0" borderId="13" xfId="3" applyNumberFormat="1" applyFont="1" applyBorder="1" applyAlignment="1">
      <alignment horizontal="right" vertical="top"/>
    </xf>
    <xf numFmtId="3" fontId="1" fillId="0" borderId="13" xfId="0" applyNumberFormat="1" applyFont="1" applyBorder="1" applyAlignment="1">
      <alignment horizontal="right" vertical="top" wrapText="1"/>
    </xf>
    <xf numFmtId="0" fontId="1" fillId="0" borderId="0" xfId="0" applyFont="1" applyAlignment="1">
      <alignment vertical="top"/>
    </xf>
    <xf numFmtId="0" fontId="1" fillId="0" borderId="13" xfId="0" applyFont="1" applyBorder="1" applyAlignment="1">
      <alignment horizontal="right" vertical="top" wrapText="1"/>
    </xf>
    <xf numFmtId="1" fontId="1" fillId="0" borderId="13" xfId="3" quotePrefix="1" applyNumberFormat="1" applyFont="1" applyBorder="1" applyAlignment="1">
      <alignment horizontal="left" vertical="top" wrapText="1"/>
    </xf>
    <xf numFmtId="0" fontId="1" fillId="0" borderId="13" xfId="0" applyFont="1" applyBorder="1" applyAlignment="1">
      <alignment horizontal="center" vertical="top" wrapText="1"/>
    </xf>
    <xf numFmtId="3" fontId="2" fillId="0" borderId="13" xfId="0" applyNumberFormat="1" applyFont="1" applyBorder="1" applyAlignment="1">
      <alignment horizontal="right" vertical="top" wrapText="1"/>
    </xf>
    <xf numFmtId="3" fontId="1" fillId="0" borderId="0" xfId="0" applyNumberFormat="1" applyFont="1" applyAlignment="1">
      <alignment vertical="top"/>
    </xf>
    <xf numFmtId="167" fontId="32" fillId="0" borderId="13" xfId="0" applyNumberFormat="1" applyFont="1" applyBorder="1" applyAlignment="1">
      <alignment horizontal="right" vertical="top" wrapText="1"/>
    </xf>
    <xf numFmtId="3" fontId="7" fillId="0" borderId="13" xfId="24" quotePrefix="1" applyNumberFormat="1" applyFont="1" applyBorder="1" applyAlignment="1">
      <alignment horizontal="justify" vertical="top" wrapText="1"/>
    </xf>
    <xf numFmtId="3" fontId="43" fillId="0" borderId="13" xfId="0" applyNumberFormat="1" applyFont="1" applyBorder="1" applyAlignment="1">
      <alignment horizontal="right" vertical="top" shrinkToFit="1"/>
    </xf>
    <xf numFmtId="1" fontId="1" fillId="0" borderId="13" xfId="3" applyNumberFormat="1" applyFont="1" applyBorder="1" applyAlignment="1">
      <alignment horizontal="right" vertical="top"/>
    </xf>
    <xf numFmtId="0" fontId="1" fillId="0" borderId="13" xfId="0" quotePrefix="1" applyFont="1" applyBorder="1" applyAlignment="1">
      <alignment horizontal="center" vertical="top" wrapText="1"/>
    </xf>
    <xf numFmtId="0" fontId="39" fillId="0" borderId="13" xfId="0" applyFont="1" applyBorder="1" applyAlignment="1">
      <alignment horizontal="center" vertical="top" wrapText="1"/>
    </xf>
    <xf numFmtId="1" fontId="1" fillId="0" borderId="13" xfId="3" applyNumberFormat="1" applyFont="1" applyBorder="1" applyAlignment="1">
      <alignment horizontal="center" vertical="top" wrapText="1"/>
    </xf>
    <xf numFmtId="3" fontId="1" fillId="0" borderId="13" xfId="3" applyNumberFormat="1" applyFont="1" applyBorder="1" applyAlignment="1">
      <alignment horizontal="right" vertical="top"/>
    </xf>
    <xf numFmtId="3" fontId="9" fillId="0" borderId="13" xfId="3" quotePrefix="1" applyNumberFormat="1" applyFont="1" applyBorder="1" applyAlignment="1">
      <alignment horizontal="center" vertical="top" wrapText="1"/>
    </xf>
    <xf numFmtId="0" fontId="9" fillId="0" borderId="13" xfId="6" applyFont="1" applyBorder="1" applyAlignment="1">
      <alignment horizontal="center" vertical="top"/>
    </xf>
    <xf numFmtId="1" fontId="9" fillId="0" borderId="13" xfId="3" applyNumberFormat="1" applyFont="1" applyBorder="1" applyAlignment="1">
      <alignment horizontal="center" vertical="center" wrapText="1"/>
    </xf>
    <xf numFmtId="164" fontId="7" fillId="0" borderId="13" xfId="5" quotePrefix="1" applyNumberFormat="1" applyFont="1" applyBorder="1" applyAlignment="1" applyProtection="1">
      <alignment horizontal="justify" vertical="top"/>
      <protection locked="0"/>
    </xf>
    <xf numFmtId="3" fontId="31" fillId="0" borderId="13" xfId="3" applyNumberFormat="1" applyFont="1" applyBorder="1" applyAlignment="1">
      <alignment horizontal="right" vertical="center"/>
    </xf>
    <xf numFmtId="3" fontId="41" fillId="0" borderId="13" xfId="3" quotePrefix="1" applyNumberFormat="1" applyFont="1" applyBorder="1" applyAlignment="1">
      <alignment horizontal="right" vertical="top" wrapText="1"/>
    </xf>
    <xf numFmtId="167" fontId="7" fillId="0" borderId="13" xfId="0" applyNumberFormat="1" applyFont="1" applyBorder="1" applyAlignment="1">
      <alignment horizontal="right" vertical="top"/>
    </xf>
    <xf numFmtId="3" fontId="31" fillId="0" borderId="13" xfId="0" applyNumberFormat="1" applyFont="1" applyBorder="1" applyAlignment="1">
      <alignment horizontal="right"/>
    </xf>
    <xf numFmtId="167" fontId="7" fillId="0" borderId="13" xfId="1" quotePrefix="1" applyNumberFormat="1" applyFont="1" applyFill="1" applyBorder="1" applyAlignment="1">
      <alignment horizontal="right" vertical="top" shrinkToFit="1"/>
    </xf>
    <xf numFmtId="0" fontId="9" fillId="0" borderId="0" xfId="0" applyFont="1" applyAlignment="1">
      <alignment horizontal="center" vertical="top"/>
    </xf>
    <xf numFmtId="3" fontId="9" fillId="0" borderId="13" xfId="0" quotePrefix="1" applyNumberFormat="1" applyFont="1" applyBorder="1" applyAlignment="1">
      <alignment horizontal="center" vertical="top" wrapText="1"/>
    </xf>
    <xf numFmtId="1" fontId="9" fillId="0" borderId="13" xfId="0" applyNumberFormat="1" applyFont="1" applyBorder="1" applyAlignment="1">
      <alignment horizontal="center" vertical="top" wrapText="1"/>
    </xf>
    <xf numFmtId="0" fontId="7" fillId="0" borderId="13" xfId="27" applyFont="1" applyFill="1" applyBorder="1" applyAlignment="1" applyProtection="1">
      <alignment horizontal="center" vertical="top" wrapText="1" shrinkToFit="1"/>
    </xf>
    <xf numFmtId="167" fontId="31" fillId="0" borderId="13" xfId="1" applyNumberFormat="1" applyFont="1" applyFill="1" applyBorder="1" applyAlignment="1">
      <alignment horizontal="center" vertical="top" wrapText="1"/>
    </xf>
    <xf numFmtId="3" fontId="7" fillId="0" borderId="13" xfId="27" applyNumberFormat="1" applyFont="1" applyFill="1" applyBorder="1" applyAlignment="1" applyProtection="1">
      <alignment horizontal="center" vertical="top" wrapText="1" shrinkToFit="1"/>
    </xf>
    <xf numFmtId="3" fontId="7" fillId="0" borderId="13" xfId="28" applyNumberFormat="1" applyFont="1" applyBorder="1" applyAlignment="1">
      <alignment horizontal="right" vertical="top" wrapText="1" shrinkToFit="1"/>
    </xf>
    <xf numFmtId="3" fontId="7" fillId="0" borderId="13" xfId="29" applyNumberFormat="1" applyFont="1" applyBorder="1" applyAlignment="1">
      <alignment horizontal="center" vertical="top" wrapText="1"/>
    </xf>
    <xf numFmtId="3" fontId="7" fillId="0" borderId="13" xfId="28" applyNumberFormat="1" applyFont="1" applyBorder="1" applyAlignment="1">
      <alignment horizontal="center" vertical="top" wrapText="1" shrinkToFit="1"/>
    </xf>
    <xf numFmtId="0" fontId="9" fillId="0" borderId="0" xfId="0" applyFont="1" applyAlignment="1">
      <alignment vertical="center"/>
    </xf>
    <xf numFmtId="1" fontId="32" fillId="0" borderId="13" xfId="3" applyNumberFormat="1" applyFont="1" applyBorder="1" applyAlignment="1">
      <alignment horizontal="center" vertical="center"/>
    </xf>
    <xf numFmtId="3" fontId="32" fillId="0" borderId="13" xfId="1" applyNumberFormat="1" applyFont="1" applyFill="1" applyBorder="1" applyAlignment="1">
      <alignment horizontal="right" vertical="center" wrapText="1"/>
    </xf>
    <xf numFmtId="3" fontId="9" fillId="0" borderId="13" xfId="0" applyNumberFormat="1" applyFont="1" applyBorder="1" applyAlignment="1">
      <alignment horizontal="center" vertical="center" wrapText="1"/>
    </xf>
    <xf numFmtId="1" fontId="9" fillId="0" borderId="13" xfId="0" applyNumberFormat="1" applyFont="1" applyBorder="1" applyAlignment="1">
      <alignment horizontal="center" vertical="center" wrapText="1"/>
    </xf>
    <xf numFmtId="0" fontId="9" fillId="0" borderId="13" xfId="0" applyFont="1" applyBorder="1" applyAlignment="1">
      <alignment horizontal="center" vertical="center" wrapText="1"/>
    </xf>
    <xf numFmtId="3" fontId="44" fillId="0" borderId="13" xfId="1" applyNumberFormat="1" applyFont="1" applyFill="1" applyBorder="1" applyAlignment="1">
      <alignment horizontal="right" vertical="center" wrapText="1"/>
    </xf>
    <xf numFmtId="3" fontId="9" fillId="0" borderId="13" xfId="0" applyNumberFormat="1" applyFont="1" applyBorder="1" applyAlignment="1">
      <alignment horizontal="right" vertical="center" wrapText="1"/>
    </xf>
    <xf numFmtId="0" fontId="8" fillId="0" borderId="0" xfId="0" applyFont="1" applyAlignment="1">
      <alignment horizontal="center" vertical="top"/>
    </xf>
    <xf numFmtId="0" fontId="8" fillId="0" borderId="13" xfId="0" quotePrefix="1" applyFont="1" applyBorder="1" applyAlignment="1">
      <alignment horizontal="center" vertical="top" wrapText="1"/>
    </xf>
    <xf numFmtId="3" fontId="10" fillId="0" borderId="13" xfId="0" applyNumberFormat="1" applyFont="1" applyBorder="1" applyAlignment="1">
      <alignment horizontal="center" vertical="top" wrapText="1"/>
    </xf>
    <xf numFmtId="1" fontId="9" fillId="0" borderId="13" xfId="3" applyNumberFormat="1" applyFont="1" applyBorder="1" applyAlignment="1">
      <alignment horizontal="center" vertical="top"/>
    </xf>
    <xf numFmtId="1" fontId="32" fillId="0" borderId="13" xfId="3" applyNumberFormat="1" applyFont="1" applyBorder="1" applyAlignment="1">
      <alignment horizontal="center" vertical="top" wrapText="1"/>
    </xf>
    <xf numFmtId="3" fontId="7" fillId="0" borderId="13" xfId="3" quotePrefix="1" applyNumberFormat="1" applyFont="1" applyBorder="1" applyAlignment="1">
      <alignment horizontal="justify" vertical="top" wrapText="1"/>
    </xf>
    <xf numFmtId="3" fontId="31" fillId="0" borderId="13" xfId="25" applyNumberFormat="1" applyFont="1" applyBorder="1" applyAlignment="1">
      <alignment horizontal="right" vertical="top" wrapText="1"/>
    </xf>
    <xf numFmtId="1" fontId="10" fillId="0" borderId="13" xfId="3" applyNumberFormat="1" applyFont="1" applyBorder="1" applyAlignment="1">
      <alignment horizontal="center" vertical="top" wrapText="1"/>
    </xf>
    <xf numFmtId="3" fontId="32" fillId="0" borderId="13" xfId="3" quotePrefix="1" applyNumberFormat="1" applyFont="1" applyBorder="1" applyAlignment="1">
      <alignment horizontal="right" vertical="top" wrapText="1"/>
    </xf>
    <xf numFmtId="170" fontId="32" fillId="0" borderId="13" xfId="0" applyNumberFormat="1" applyFont="1" applyBorder="1" applyAlignment="1">
      <alignment horizontal="center" vertical="top" wrapText="1"/>
    </xf>
    <xf numFmtId="3" fontId="44" fillId="0" borderId="13" xfId="3" quotePrefix="1" applyNumberFormat="1" applyFont="1" applyBorder="1" applyAlignment="1">
      <alignment horizontal="right" vertical="top" wrapText="1"/>
    </xf>
    <xf numFmtId="3" fontId="41" fillId="0" borderId="13" xfId="0" applyNumberFormat="1" applyFont="1" applyBorder="1" applyAlignment="1">
      <alignment horizontal="right" vertical="top" shrinkToFit="1"/>
    </xf>
    <xf numFmtId="167" fontId="41" fillId="0" borderId="13" xfId="0" applyNumberFormat="1" applyFont="1" applyBorder="1" applyAlignment="1">
      <alignment horizontal="right" vertical="top" wrapText="1"/>
    </xf>
    <xf numFmtId="170" fontId="9" fillId="0" borderId="13" xfId="0" applyNumberFormat="1" applyFont="1" applyBorder="1" applyAlignment="1">
      <alignment horizontal="center" vertical="top" wrapText="1"/>
    </xf>
    <xf numFmtId="167" fontId="44" fillId="0" borderId="13" xfId="0" applyNumberFormat="1" applyFont="1" applyBorder="1" applyAlignment="1">
      <alignment horizontal="right" vertical="top" wrapText="1"/>
    </xf>
    <xf numFmtId="167" fontId="7" fillId="0" borderId="13" xfId="1" applyNumberFormat="1" applyFont="1" applyFill="1" applyBorder="1" applyAlignment="1">
      <alignment horizontal="right" vertical="top" shrinkToFit="1"/>
    </xf>
    <xf numFmtId="0" fontId="7" fillId="0" borderId="18" xfId="0" applyFont="1" applyBorder="1" applyAlignment="1">
      <alignment horizontal="right" vertical="top"/>
    </xf>
    <xf numFmtId="3" fontId="31" fillId="0" borderId="18" xfId="0" applyNumberFormat="1" applyFont="1" applyBorder="1" applyAlignment="1">
      <alignment horizontal="right" vertical="top"/>
    </xf>
    <xf numFmtId="3" fontId="31" fillId="0" borderId="0" xfId="0" applyNumberFormat="1" applyFont="1" applyAlignment="1">
      <alignment vertical="top"/>
    </xf>
    <xf numFmtId="0" fontId="8" fillId="0" borderId="0" xfId="0" applyFont="1" applyAlignment="1">
      <alignment horizontal="right" vertical="top"/>
    </xf>
    <xf numFmtId="0" fontId="41" fillId="0" borderId="0" xfId="0" applyFont="1" applyAlignment="1">
      <alignment vertical="top"/>
    </xf>
    <xf numFmtId="0" fontId="31" fillId="0" borderId="0" xfId="0" applyFont="1" applyAlignment="1">
      <alignment vertical="top"/>
    </xf>
    <xf numFmtId="0" fontId="37" fillId="0" borderId="0" xfId="0" applyFont="1"/>
    <xf numFmtId="3" fontId="8" fillId="0" borderId="13" xfId="0" applyNumberFormat="1" applyFont="1" applyBorder="1"/>
    <xf numFmtId="3" fontId="7" fillId="0" borderId="13" xfId="0" applyNumberFormat="1" applyFont="1" applyBorder="1" applyAlignment="1">
      <alignment vertical="top"/>
    </xf>
    <xf numFmtId="3" fontId="32" fillId="0" borderId="13" xfId="0" applyNumberFormat="1" applyFont="1" applyBorder="1" applyAlignment="1">
      <alignment vertical="top"/>
    </xf>
    <xf numFmtId="3" fontId="1" fillId="0" borderId="13" xfId="0" applyNumberFormat="1" applyFont="1" applyBorder="1" applyAlignment="1">
      <alignment vertical="center"/>
    </xf>
    <xf numFmtId="3" fontId="8" fillId="0" borderId="13" xfId="0" applyNumberFormat="1" applyFont="1" applyBorder="1" applyAlignment="1">
      <alignment vertical="top"/>
    </xf>
    <xf numFmtId="0" fontId="8" fillId="0" borderId="13" xfId="0" applyFont="1" applyBorder="1" applyAlignment="1">
      <alignment vertical="top"/>
    </xf>
    <xf numFmtId="49" fontId="7" fillId="0" borderId="13" xfId="0" applyNumberFormat="1" applyFont="1" applyBorder="1" applyAlignment="1">
      <alignment horizontal="center" vertical="top" wrapText="1"/>
    </xf>
    <xf numFmtId="0" fontId="7" fillId="2" borderId="13" xfId="0" applyFont="1" applyFill="1" applyBorder="1" applyAlignment="1">
      <alignment horizontal="center" vertical="top" wrapText="1"/>
    </xf>
    <xf numFmtId="0" fontId="7" fillId="2" borderId="13" xfId="0" quotePrefix="1" applyFont="1" applyFill="1" applyBorder="1" applyAlignment="1">
      <alignment horizontal="center" vertical="top" wrapText="1"/>
    </xf>
    <xf numFmtId="0" fontId="8" fillId="4" borderId="13" xfId="0" applyFont="1" applyFill="1" applyBorder="1" applyAlignment="1">
      <alignment horizontal="center" vertical="top" wrapText="1"/>
    </xf>
    <xf numFmtId="1" fontId="8" fillId="0" borderId="13" xfId="3" applyNumberFormat="1" applyFont="1" applyBorder="1" applyAlignment="1">
      <alignment horizontal="justify" vertical="top" wrapText="1"/>
    </xf>
    <xf numFmtId="0" fontId="8" fillId="4" borderId="13" xfId="0" quotePrefix="1" applyFont="1" applyFill="1" applyBorder="1" applyAlignment="1">
      <alignment horizontal="justify" vertical="top" wrapText="1"/>
    </xf>
    <xf numFmtId="1" fontId="7" fillId="0" borderId="13" xfId="3" applyNumberFormat="1" applyFont="1" applyBorder="1" applyAlignment="1">
      <alignment horizontal="justify" vertical="top" wrapText="1"/>
    </xf>
    <xf numFmtId="0" fontId="7" fillId="0" borderId="13" xfId="0" applyFont="1" applyBorder="1" applyAlignment="1">
      <alignment horizontal="justify" vertical="center" wrapText="1"/>
    </xf>
    <xf numFmtId="0" fontId="9" fillId="0" borderId="13" xfId="0" applyFont="1" applyBorder="1" applyAlignment="1">
      <alignment horizontal="justify" vertical="center" wrapText="1"/>
    </xf>
    <xf numFmtId="1" fontId="7" fillId="0" borderId="13" xfId="3" quotePrefix="1" applyNumberFormat="1" applyFont="1" applyBorder="1" applyAlignment="1">
      <alignment horizontal="justify" vertical="top" wrapText="1"/>
    </xf>
    <xf numFmtId="1" fontId="8" fillId="0" borderId="13" xfId="3" quotePrefix="1" applyNumberFormat="1" applyFont="1" applyBorder="1" applyAlignment="1">
      <alignment horizontal="justify" vertical="top" wrapText="1"/>
    </xf>
    <xf numFmtId="0" fontId="8" fillId="0" borderId="13" xfId="0" applyFont="1" applyBorder="1" applyAlignment="1">
      <alignment horizontal="justify" vertical="top" wrapText="1"/>
    </xf>
    <xf numFmtId="1" fontId="32" fillId="0" borderId="13" xfId="3" applyNumberFormat="1" applyFont="1" applyBorder="1" applyAlignment="1">
      <alignment horizontal="justify" vertical="top" wrapText="1"/>
    </xf>
    <xf numFmtId="0" fontId="8" fillId="0" borderId="13" xfId="0" quotePrefix="1" applyFont="1" applyBorder="1" applyAlignment="1">
      <alignment horizontal="justify" vertical="top" wrapText="1"/>
    </xf>
    <xf numFmtId="167" fontId="7" fillId="0" borderId="13" xfId="2" quotePrefix="1" applyNumberFormat="1" applyFont="1" applyFill="1" applyBorder="1" applyAlignment="1">
      <alignment horizontal="justify" vertical="top" wrapText="1"/>
    </xf>
    <xf numFmtId="0" fontId="7" fillId="2" borderId="13" xfId="0" quotePrefix="1" applyFont="1" applyFill="1" applyBorder="1" applyAlignment="1">
      <alignment horizontal="justify" vertical="top" wrapText="1"/>
    </xf>
    <xf numFmtId="1" fontId="32" fillId="0" borderId="13" xfId="3" quotePrefix="1" applyNumberFormat="1" applyFont="1" applyBorder="1" applyAlignment="1">
      <alignment horizontal="justify" vertical="top" wrapText="1"/>
    </xf>
    <xf numFmtId="1" fontId="1" fillId="0" borderId="13" xfId="3" quotePrefix="1" applyNumberFormat="1" applyFont="1" applyBorder="1" applyAlignment="1">
      <alignment horizontal="justify" vertical="top" wrapText="1"/>
    </xf>
    <xf numFmtId="0" fontId="1" fillId="0" borderId="13" xfId="0" quotePrefix="1" applyFont="1" applyBorder="1" applyAlignment="1">
      <alignment horizontal="justify" vertical="top" wrapText="1"/>
    </xf>
    <xf numFmtId="3" fontId="8" fillId="0" borderId="13" xfId="0" applyNumberFormat="1" applyFont="1" applyBorder="1" applyAlignment="1">
      <alignment horizontal="justify" vertical="top" wrapText="1"/>
    </xf>
    <xf numFmtId="3" fontId="32" fillId="0" borderId="13" xfId="0" applyNumberFormat="1" applyFont="1" applyBorder="1" applyAlignment="1">
      <alignment horizontal="justify" vertical="top" wrapText="1"/>
    </xf>
    <xf numFmtId="49" fontId="7" fillId="0" borderId="13" xfId="0" quotePrefix="1" applyNumberFormat="1" applyFont="1" applyBorder="1" applyAlignment="1">
      <alignment horizontal="justify" vertical="top" wrapText="1"/>
    </xf>
    <xf numFmtId="3" fontId="8" fillId="0" borderId="13" xfId="3" quotePrefix="1" applyNumberFormat="1" applyFont="1" applyBorder="1" applyAlignment="1">
      <alignment horizontal="justify" vertical="top" wrapText="1"/>
    </xf>
    <xf numFmtId="0" fontId="7" fillId="0" borderId="13" xfId="0" applyFont="1" applyBorder="1" applyAlignment="1">
      <alignment horizontal="justify"/>
    </xf>
    <xf numFmtId="1" fontId="32" fillId="0" borderId="13" xfId="3" applyNumberFormat="1" applyFont="1" applyBorder="1" applyAlignment="1">
      <alignment horizontal="justify" vertical="center" wrapText="1"/>
    </xf>
    <xf numFmtId="3" fontId="8" fillId="0" borderId="13" xfId="0" quotePrefix="1" applyNumberFormat="1" applyFont="1" applyBorder="1" applyAlignment="1">
      <alignment horizontal="justify" vertical="top" wrapText="1"/>
    </xf>
    <xf numFmtId="0" fontId="7" fillId="0" borderId="18" xfId="0" applyFont="1" applyBorder="1" applyAlignment="1">
      <alignment horizontal="justify"/>
    </xf>
    <xf numFmtId="0" fontId="7" fillId="0" borderId="17" xfId="0" applyFont="1" applyBorder="1" applyAlignment="1">
      <alignment horizontal="center" vertical="center" wrapText="1"/>
    </xf>
    <xf numFmtId="3" fontId="7" fillId="0" borderId="17" xfId="0" applyNumberFormat="1" applyFont="1" applyBorder="1" applyAlignment="1">
      <alignment horizontal="right" vertical="center" wrapText="1"/>
    </xf>
    <xf numFmtId="0" fontId="7" fillId="0" borderId="17" xfId="0" applyFont="1" applyBorder="1" applyAlignment="1">
      <alignment horizontal="right" vertical="center" wrapText="1"/>
    </xf>
    <xf numFmtId="3" fontId="31" fillId="0" borderId="17" xfId="0" applyNumberFormat="1" applyFont="1" applyBorder="1" applyAlignment="1">
      <alignment horizontal="right" vertical="center" wrapText="1"/>
    </xf>
    <xf numFmtId="0" fontId="8" fillId="2" borderId="13" xfId="0" quotePrefix="1" applyFont="1" applyFill="1" applyBorder="1" applyAlignment="1">
      <alignment horizontal="justify" vertical="top" wrapText="1"/>
    </xf>
    <xf numFmtId="0" fontId="9" fillId="2" borderId="13" xfId="0" quotePrefix="1" applyFont="1" applyFill="1" applyBorder="1" applyAlignment="1">
      <alignment horizontal="justify" vertical="top" wrapText="1"/>
    </xf>
    <xf numFmtId="3" fontId="8" fillId="4" borderId="13" xfId="3" applyNumberFormat="1" applyFont="1" applyFill="1" applyBorder="1" applyAlignment="1">
      <alignment horizontal="justify" vertical="top" wrapText="1"/>
    </xf>
    <xf numFmtId="0" fontId="8" fillId="2" borderId="13" xfId="0" applyFont="1" applyFill="1" applyBorder="1" applyAlignment="1">
      <alignment horizontal="justify" vertical="top" wrapText="1"/>
    </xf>
    <xf numFmtId="1" fontId="8" fillId="2" borderId="13" xfId="3" applyNumberFormat="1" applyFont="1" applyFill="1" applyBorder="1" applyAlignment="1">
      <alignment horizontal="center" vertical="top"/>
    </xf>
    <xf numFmtId="1" fontId="8" fillId="2" borderId="13" xfId="3" applyNumberFormat="1" applyFont="1" applyFill="1" applyBorder="1" applyAlignment="1">
      <alignment horizontal="justify" vertical="top" wrapText="1"/>
    </xf>
    <xf numFmtId="170" fontId="8" fillId="0" borderId="13" xfId="0" quotePrefix="1" applyNumberFormat="1" applyFont="1" applyBorder="1" applyAlignment="1">
      <alignment horizontal="center" vertical="top" wrapText="1"/>
    </xf>
    <xf numFmtId="3" fontId="10" fillId="0" borderId="13" xfId="1" applyNumberFormat="1" applyFont="1" applyFill="1" applyBorder="1" applyAlignment="1">
      <alignment horizontal="right" vertical="top" wrapText="1"/>
    </xf>
    <xf numFmtId="167" fontId="23" fillId="0" borderId="13" xfId="0" applyNumberFormat="1" applyFont="1" applyBorder="1" applyAlignment="1">
      <alignment horizontal="right" vertical="top" wrapText="1"/>
    </xf>
    <xf numFmtId="3" fontId="8" fillId="2" borderId="1" xfId="3" quotePrefix="1" applyNumberFormat="1" applyFont="1" applyFill="1" applyBorder="1" applyAlignment="1">
      <alignment horizontal="left" vertical="top" wrapText="1"/>
    </xf>
    <xf numFmtId="3" fontId="9" fillId="2" borderId="1" xfId="3" quotePrefix="1" applyNumberFormat="1" applyFont="1" applyFill="1" applyBorder="1" applyAlignment="1">
      <alignment horizontal="left" vertical="top" wrapText="1"/>
    </xf>
    <xf numFmtId="3" fontId="8" fillId="0" borderId="13" xfId="3" applyNumberFormat="1" applyFont="1" applyBorder="1" applyAlignment="1">
      <alignment horizontal="right" vertical="top"/>
    </xf>
    <xf numFmtId="3" fontId="32" fillId="0" borderId="13" xfId="3" applyNumberFormat="1" applyFont="1" applyBorder="1" applyAlignment="1">
      <alignment horizontal="right" vertical="top"/>
    </xf>
    <xf numFmtId="3" fontId="2" fillId="0" borderId="13" xfId="3" applyNumberFormat="1" applyFont="1" applyBorder="1" applyAlignment="1">
      <alignment horizontal="right" vertical="top"/>
    </xf>
    <xf numFmtId="3" fontId="8" fillId="0" borderId="13" xfId="12" applyNumberFormat="1" applyFont="1" applyFill="1" applyBorder="1" applyAlignment="1">
      <alignment horizontal="right" vertical="top" wrapText="1"/>
    </xf>
    <xf numFmtId="0" fontId="7" fillId="0" borderId="13" xfId="0" quotePrefix="1" applyFont="1" applyBorder="1" applyAlignment="1">
      <alignment horizontal="justify" vertical="top" wrapText="1" shrinkToFit="1"/>
    </xf>
    <xf numFmtId="3" fontId="7" fillId="0" borderId="13" xfId="22" quotePrefix="1" applyNumberFormat="1" applyFont="1" applyBorder="1" applyAlignment="1">
      <alignment horizontal="justify" vertical="top" wrapText="1"/>
    </xf>
    <xf numFmtId="0" fontId="7" fillId="0" borderId="13" xfId="4" quotePrefix="1" applyFont="1" applyBorder="1" applyAlignment="1">
      <alignment horizontal="justify" vertical="top" wrapText="1"/>
    </xf>
    <xf numFmtId="0" fontId="10" fillId="0" borderId="13" xfId="4" applyFont="1" applyBorder="1" applyAlignment="1">
      <alignment horizontal="center" vertical="top" wrapText="1"/>
    </xf>
    <xf numFmtId="3" fontId="7" fillId="0" borderId="13" xfId="4" quotePrefix="1" applyNumberFormat="1" applyFont="1" applyBorder="1" applyAlignment="1">
      <alignment horizontal="right" vertical="top" wrapText="1"/>
    </xf>
    <xf numFmtId="0" fontId="10" fillId="0" borderId="13" xfId="0" quotePrefix="1" applyFont="1" applyBorder="1" applyAlignment="1">
      <alignment horizontal="justify" vertical="top" wrapText="1"/>
    </xf>
    <xf numFmtId="3" fontId="32" fillId="0" borderId="13" xfId="0" applyNumberFormat="1" applyFont="1" applyBorder="1" applyAlignment="1">
      <alignment horizontal="right" vertical="top" shrinkToFit="1"/>
    </xf>
    <xf numFmtId="0" fontId="10" fillId="0" borderId="13" xfId="0" applyFont="1" applyBorder="1" applyAlignment="1">
      <alignment horizontal="right" vertical="top" wrapText="1"/>
    </xf>
    <xf numFmtId="3" fontId="10" fillId="0" borderId="13" xfId="3" applyNumberFormat="1" applyFont="1" applyBorder="1" applyAlignment="1">
      <alignment horizontal="right" vertical="top"/>
    </xf>
    <xf numFmtId="1" fontId="23" fillId="0" borderId="13" xfId="3" applyNumberFormat="1" applyFont="1" applyBorder="1" applyAlignment="1">
      <alignment horizontal="justify" vertical="top" wrapText="1"/>
    </xf>
    <xf numFmtId="3" fontId="10" fillId="0" borderId="13" xfId="0" quotePrefix="1" applyNumberFormat="1" applyFont="1" applyBorder="1" applyAlignment="1">
      <alignment horizontal="justify" vertical="top" wrapText="1"/>
    </xf>
    <xf numFmtId="3" fontId="10" fillId="0" borderId="13" xfId="0" applyNumberFormat="1" applyFont="1" applyBorder="1" applyAlignment="1">
      <alignment horizontal="right" vertical="top"/>
    </xf>
    <xf numFmtId="0" fontId="10" fillId="0" borderId="13" xfId="0" applyFont="1" applyBorder="1" applyAlignment="1">
      <alignment horizontal="center" vertical="top"/>
    </xf>
    <xf numFmtId="0" fontId="10" fillId="0" borderId="13" xfId="0" quotePrefix="1" applyFont="1" applyBorder="1" applyAlignment="1">
      <alignment horizontal="left" vertical="top" wrapText="1"/>
    </xf>
    <xf numFmtId="1" fontId="10" fillId="0" borderId="13" xfId="3" quotePrefix="1" applyNumberFormat="1" applyFont="1" applyBorder="1" applyAlignment="1">
      <alignment horizontal="justify" vertical="top" wrapText="1"/>
    </xf>
    <xf numFmtId="3" fontId="10" fillId="0" borderId="13" xfId="12" applyNumberFormat="1" applyFont="1" applyFill="1" applyBorder="1" applyAlignment="1">
      <alignment horizontal="right" vertical="top" wrapText="1"/>
    </xf>
    <xf numFmtId="3" fontId="46" fillId="0" borderId="13" xfId="0" applyNumberFormat="1" applyFont="1" applyBorder="1" applyAlignment="1">
      <alignment horizontal="center" vertical="top" wrapText="1"/>
    </xf>
    <xf numFmtId="3" fontId="10" fillId="0" borderId="13" xfId="25" applyNumberFormat="1" applyFont="1" applyBorder="1" applyAlignment="1">
      <alignment horizontal="right" vertical="top" wrapText="1"/>
    </xf>
    <xf numFmtId="3" fontId="10" fillId="0" borderId="13" xfId="0" applyNumberFormat="1" applyFont="1" applyBorder="1" applyAlignment="1">
      <alignment horizontal="right" vertical="top" shrinkToFit="1"/>
    </xf>
    <xf numFmtId="3" fontId="10" fillId="0" borderId="13" xfId="0" applyNumberFormat="1" applyFont="1" applyBorder="1" applyAlignment="1">
      <alignment vertical="top"/>
    </xf>
    <xf numFmtId="1" fontId="10" fillId="3" borderId="13" xfId="3" applyNumberFormat="1" applyFont="1" applyFill="1" applyBorder="1" applyAlignment="1">
      <alignment horizontal="right" vertical="top"/>
    </xf>
    <xf numFmtId="3" fontId="45" fillId="0" borderId="13" xfId="0" applyNumberFormat="1" applyFont="1" applyBorder="1" applyAlignment="1">
      <alignment horizontal="right" vertical="top" wrapText="1"/>
    </xf>
    <xf numFmtId="0" fontId="45" fillId="0" borderId="13" xfId="0" applyFont="1" applyBorder="1" applyAlignment="1">
      <alignment horizontal="center" vertical="top" wrapText="1"/>
    </xf>
    <xf numFmtId="3" fontId="8" fillId="0" borderId="13" xfId="28" applyNumberFormat="1" applyFont="1" applyBorder="1" applyAlignment="1">
      <alignment horizontal="right" vertical="top" wrapText="1" shrinkToFit="1"/>
    </xf>
    <xf numFmtId="0" fontId="14" fillId="0" borderId="0" xfId="0" applyFont="1"/>
    <xf numFmtId="0" fontId="28" fillId="0" borderId="17" xfId="0" applyFont="1" applyBorder="1" applyAlignment="1">
      <alignment horizontal="center" vertical="center" wrapText="1"/>
    </xf>
    <xf numFmtId="3" fontId="28" fillId="0" borderId="17" xfId="3" applyNumberFormat="1" applyFont="1" applyBorder="1" applyAlignment="1">
      <alignment horizontal="center" vertical="center" wrapText="1"/>
    </xf>
    <xf numFmtId="3" fontId="28" fillId="0" borderId="17" xfId="0" applyNumberFormat="1" applyFont="1" applyBorder="1" applyAlignment="1">
      <alignment horizontal="right" vertical="center" wrapText="1"/>
    </xf>
    <xf numFmtId="0" fontId="25" fillId="0" borderId="17" xfId="0" quotePrefix="1" applyFont="1" applyBorder="1" applyAlignment="1">
      <alignment horizontal="center" vertical="center" wrapText="1"/>
    </xf>
    <xf numFmtId="3" fontId="28" fillId="0" borderId="0" xfId="0" applyNumberFormat="1" applyFont="1" applyAlignment="1">
      <alignment vertical="center" wrapText="1"/>
    </xf>
    <xf numFmtId="3" fontId="25" fillId="0" borderId="0" xfId="0" applyNumberFormat="1" applyFont="1" applyAlignment="1">
      <alignment horizontal="left" vertical="center" wrapText="1"/>
    </xf>
    <xf numFmtId="0" fontId="28" fillId="0" borderId="0" xfId="0" applyFont="1" applyAlignment="1">
      <alignment vertical="center" wrapText="1"/>
    </xf>
    <xf numFmtId="3" fontId="31" fillId="0" borderId="13" xfId="4" applyNumberFormat="1" applyFont="1" applyBorder="1" applyAlignment="1">
      <alignment horizontal="right" vertical="top"/>
    </xf>
    <xf numFmtId="3" fontId="44" fillId="0" borderId="13" xfId="3" applyNumberFormat="1" applyFont="1" applyBorder="1" applyAlignment="1">
      <alignment horizontal="right" vertical="top"/>
    </xf>
    <xf numFmtId="3" fontId="41" fillId="0" borderId="13" xfId="3" applyNumberFormat="1" applyFont="1" applyBorder="1" applyAlignment="1">
      <alignment horizontal="right" vertical="top"/>
    </xf>
    <xf numFmtId="3" fontId="41" fillId="0" borderId="13" xfId="12" applyNumberFormat="1" applyFont="1" applyFill="1" applyBorder="1" applyAlignment="1">
      <alignment horizontal="right" vertical="top" wrapText="1"/>
    </xf>
    <xf numFmtId="3" fontId="31" fillId="0" borderId="13" xfId="12" applyNumberFormat="1" applyFont="1" applyFill="1" applyBorder="1" applyAlignment="1">
      <alignment horizontal="right" vertical="top" shrinkToFit="1"/>
    </xf>
    <xf numFmtId="3" fontId="44" fillId="0" borderId="13" xfId="0" applyNumberFormat="1" applyFont="1" applyBorder="1" applyAlignment="1">
      <alignment horizontal="right" vertical="top" shrinkToFit="1"/>
    </xf>
    <xf numFmtId="3" fontId="41" fillId="0" borderId="13" xfId="12" applyNumberFormat="1" applyFont="1" applyFill="1" applyBorder="1" applyAlignment="1">
      <alignment horizontal="right" vertical="top"/>
    </xf>
    <xf numFmtId="3" fontId="41" fillId="0" borderId="13" xfId="28" applyNumberFormat="1" applyFont="1" applyBorder="1" applyAlignment="1">
      <alignment horizontal="right" vertical="top" wrapText="1" shrinkToFit="1"/>
    </xf>
    <xf numFmtId="167" fontId="31" fillId="0" borderId="13" xfId="1" applyNumberFormat="1" applyFont="1" applyFill="1" applyBorder="1" applyAlignment="1">
      <alignment horizontal="right" vertical="top" wrapText="1"/>
    </xf>
    <xf numFmtId="3" fontId="31" fillId="0" borderId="13" xfId="0" applyNumberFormat="1" applyFont="1" applyBorder="1" applyAlignment="1">
      <alignment vertical="top" wrapText="1"/>
    </xf>
    <xf numFmtId="167" fontId="31" fillId="0" borderId="13" xfId="1" applyNumberFormat="1" applyFont="1" applyFill="1" applyBorder="1" applyAlignment="1">
      <alignment horizontal="right" vertical="top"/>
    </xf>
    <xf numFmtId="3" fontId="31" fillId="0" borderId="13" xfId="1" applyNumberFormat="1" applyFont="1" applyFill="1" applyBorder="1" applyAlignment="1">
      <alignment horizontal="right" vertical="top" shrinkToFit="1"/>
    </xf>
    <xf numFmtId="167" fontId="31" fillId="0" borderId="13" xfId="1" applyNumberFormat="1" applyFont="1" applyFill="1" applyBorder="1" applyAlignment="1">
      <alignment horizontal="center" vertical="top" shrinkToFit="1"/>
    </xf>
    <xf numFmtId="167" fontId="31" fillId="0" borderId="13" xfId="1" applyNumberFormat="1" applyFont="1" applyFill="1" applyBorder="1" applyAlignment="1">
      <alignment vertical="top" wrapText="1"/>
    </xf>
    <xf numFmtId="3" fontId="31" fillId="0" borderId="13" xfId="19" applyNumberFormat="1" applyFont="1" applyFill="1" applyBorder="1" applyAlignment="1">
      <alignment horizontal="right" vertical="top" wrapText="1"/>
    </xf>
    <xf numFmtId="3" fontId="31" fillId="0" borderId="13" xfId="21" applyNumberFormat="1" applyFont="1" applyFill="1" applyBorder="1" applyAlignment="1">
      <alignment horizontal="right" vertical="top" wrapText="1"/>
    </xf>
    <xf numFmtId="3" fontId="14" fillId="0" borderId="13" xfId="0" applyNumberFormat="1" applyFont="1" applyBorder="1" applyAlignment="1">
      <alignment horizontal="right" vertical="center" wrapText="1"/>
    </xf>
    <xf numFmtId="3" fontId="42" fillId="0" borderId="13" xfId="0" applyNumberFormat="1" applyFont="1" applyBorder="1" applyAlignment="1">
      <alignment horizontal="right" vertical="center" wrapText="1"/>
    </xf>
    <xf numFmtId="3" fontId="8" fillId="0" borderId="13" xfId="0" applyNumberFormat="1" applyFont="1" applyBorder="1" applyAlignment="1">
      <alignment horizontal="right" vertical="center" wrapText="1"/>
    </xf>
    <xf numFmtId="0" fontId="41" fillId="0" borderId="1" xfId="0" applyFont="1" applyBorder="1" applyAlignment="1">
      <alignment vertical="center" wrapText="1"/>
    </xf>
    <xf numFmtId="3" fontId="7" fillId="0" borderId="17" xfId="0" applyNumberFormat="1" applyFont="1" applyBorder="1" applyAlignment="1">
      <alignment horizontal="center" vertical="center" wrapText="1"/>
    </xf>
    <xf numFmtId="3" fontId="14" fillId="0" borderId="13" xfId="0" applyNumberFormat="1" applyFont="1" applyBorder="1" applyAlignment="1">
      <alignment horizontal="center" vertical="center" wrapText="1"/>
    </xf>
    <xf numFmtId="3" fontId="8" fillId="0" borderId="13" xfId="1" applyNumberFormat="1" applyFont="1" applyFill="1" applyBorder="1" applyAlignment="1">
      <alignment horizontal="center" vertical="top" wrapText="1"/>
    </xf>
    <xf numFmtId="3" fontId="7" fillId="0" borderId="13" xfId="1" applyNumberFormat="1" applyFont="1" applyFill="1" applyBorder="1" applyAlignment="1">
      <alignment horizontal="center" vertical="top" wrapText="1"/>
    </xf>
    <xf numFmtId="3" fontId="9" fillId="0" borderId="13" xfId="1" applyNumberFormat="1" applyFont="1" applyFill="1" applyBorder="1" applyAlignment="1">
      <alignment horizontal="center" vertical="top" wrapText="1"/>
    </xf>
    <xf numFmtId="3" fontId="32" fillId="0" borderId="13" xfId="0" applyNumberFormat="1" applyFont="1" applyBorder="1" applyAlignment="1">
      <alignment horizontal="center" vertical="top" wrapText="1"/>
    </xf>
    <xf numFmtId="3" fontId="7" fillId="0" borderId="13" xfId="12" quotePrefix="1" applyNumberFormat="1" applyFont="1" applyFill="1" applyBorder="1" applyAlignment="1">
      <alignment horizontal="center" vertical="top" wrapText="1"/>
    </xf>
    <xf numFmtId="3" fontId="7" fillId="0" borderId="13" xfId="4" quotePrefix="1" applyNumberFormat="1" applyFont="1" applyBorder="1" applyAlignment="1">
      <alignment horizontal="center" vertical="top" wrapText="1"/>
    </xf>
    <xf numFmtId="3" fontId="32" fillId="0" borderId="13" xfId="0" applyNumberFormat="1" applyFont="1" applyBorder="1" applyAlignment="1">
      <alignment horizontal="center" vertical="top"/>
    </xf>
    <xf numFmtId="3" fontId="1" fillId="0" borderId="13" xfId="0" applyNumberFormat="1" applyFont="1" applyBorder="1" applyAlignment="1">
      <alignment horizontal="center" vertical="top" wrapText="1"/>
    </xf>
    <xf numFmtId="3" fontId="32" fillId="0" borderId="13" xfId="3" applyNumberFormat="1" applyFont="1" applyBorder="1" applyAlignment="1">
      <alignment horizontal="center" vertical="top"/>
    </xf>
    <xf numFmtId="3" fontId="8" fillId="0" borderId="13" xfId="3" applyNumberFormat="1" applyFont="1" applyBorder="1" applyAlignment="1">
      <alignment horizontal="center" vertical="top"/>
    </xf>
    <xf numFmtId="3" fontId="8" fillId="0" borderId="13" xfId="12" applyNumberFormat="1" applyFont="1" applyFill="1" applyBorder="1" applyAlignment="1">
      <alignment horizontal="center" vertical="top" wrapText="1"/>
    </xf>
    <xf numFmtId="3" fontId="2" fillId="0" borderId="13" xfId="3" applyNumberFormat="1" applyFont="1" applyBorder="1" applyAlignment="1">
      <alignment horizontal="center" vertical="top"/>
    </xf>
    <xf numFmtId="3" fontId="45" fillId="0" borderId="13" xfId="0" applyNumberFormat="1" applyFont="1" applyBorder="1" applyAlignment="1">
      <alignment horizontal="center" vertical="top" wrapText="1"/>
    </xf>
    <xf numFmtId="3" fontId="32" fillId="0" borderId="13" xfId="15" applyNumberFormat="1" applyFont="1" applyFill="1" applyBorder="1" applyAlignment="1">
      <alignment horizontal="center" vertical="top"/>
    </xf>
    <xf numFmtId="3" fontId="8" fillId="0" borderId="13" xfId="0" applyNumberFormat="1" applyFont="1" applyBorder="1" applyAlignment="1">
      <alignment horizontal="center" vertical="top" shrinkToFit="1"/>
    </xf>
    <xf numFmtId="3" fontId="32" fillId="0" borderId="13" xfId="0" applyNumberFormat="1" applyFont="1" applyBorder="1" applyAlignment="1">
      <alignment horizontal="center" vertical="top" shrinkToFit="1"/>
    </xf>
    <xf numFmtId="3" fontId="32" fillId="0" borderId="13" xfId="1" applyNumberFormat="1" applyFont="1" applyFill="1" applyBorder="1" applyAlignment="1">
      <alignment horizontal="center" vertical="top" wrapText="1"/>
    </xf>
    <xf numFmtId="3" fontId="8" fillId="0" borderId="13" xfId="28" applyNumberFormat="1" applyFont="1" applyBorder="1" applyAlignment="1">
      <alignment horizontal="center" vertical="top" wrapText="1" shrinkToFit="1"/>
    </xf>
    <xf numFmtId="3" fontId="32" fillId="0" borderId="13" xfId="1" applyNumberFormat="1" applyFont="1" applyFill="1" applyBorder="1" applyAlignment="1">
      <alignment horizontal="center" vertical="center" wrapText="1"/>
    </xf>
    <xf numFmtId="3" fontId="23" fillId="0" borderId="13" xfId="0" applyNumberFormat="1" applyFont="1" applyBorder="1" applyAlignment="1">
      <alignment horizontal="center" vertical="top" wrapText="1"/>
    </xf>
    <xf numFmtId="3" fontId="10" fillId="0" borderId="13" xfId="0" applyNumberFormat="1" applyFont="1" applyBorder="1" applyAlignment="1">
      <alignment horizontal="center" vertical="top"/>
    </xf>
    <xf numFmtId="3" fontId="7" fillId="0" borderId="18" xfId="0" applyNumberFormat="1" applyFont="1" applyBorder="1" applyAlignment="1">
      <alignment horizontal="center" vertical="top"/>
    </xf>
    <xf numFmtId="0" fontId="7" fillId="0" borderId="0" xfId="0" applyFont="1" applyAlignment="1">
      <alignment horizontal="center"/>
    </xf>
    <xf numFmtId="0" fontId="25" fillId="0" borderId="1" xfId="0" applyFont="1" applyBorder="1" applyAlignment="1">
      <alignment horizontal="center" vertical="center" wrapText="1"/>
    </xf>
    <xf numFmtId="0" fontId="27" fillId="0" borderId="4" xfId="0" quotePrefix="1" applyFont="1" applyBorder="1" applyAlignment="1">
      <alignment horizontal="center" vertical="center" wrapText="1"/>
    </xf>
    <xf numFmtId="0" fontId="47" fillId="0" borderId="17" xfId="0" applyFont="1" applyBorder="1" applyAlignment="1">
      <alignment vertical="center"/>
    </xf>
    <xf numFmtId="0" fontId="26" fillId="0" borderId="13" xfId="0" applyFont="1" applyBorder="1" applyAlignment="1">
      <alignment horizontal="center" vertical="center" wrapText="1"/>
    </xf>
    <xf numFmtId="0" fontId="26" fillId="0" borderId="13" xfId="0" applyFont="1" applyBorder="1" applyAlignment="1">
      <alignment vertical="center" wrapText="1"/>
    </xf>
    <xf numFmtId="3" fontId="26" fillId="0" borderId="13" xfId="0" applyNumberFormat="1" applyFont="1" applyBorder="1" applyAlignment="1">
      <alignment horizontal="right" vertical="center" wrapText="1"/>
    </xf>
    <xf numFmtId="0" fontId="48" fillId="0" borderId="13" xfId="0" applyFont="1" applyBorder="1" applyAlignment="1">
      <alignment vertical="center"/>
    </xf>
    <xf numFmtId="0" fontId="25" fillId="0" borderId="13" xfId="0" applyFont="1" applyBorder="1" applyAlignment="1">
      <alignment horizontal="right" vertical="top" wrapText="1"/>
    </xf>
    <xf numFmtId="0" fontId="25" fillId="0" borderId="13" xfId="0" applyFont="1" applyBorder="1" applyAlignment="1">
      <alignment vertical="top" wrapText="1"/>
    </xf>
    <xf numFmtId="0" fontId="49" fillId="0" borderId="13" xfId="0" applyFont="1" applyBorder="1"/>
    <xf numFmtId="0" fontId="22" fillId="0" borderId="13" xfId="0" applyFont="1" applyBorder="1" applyAlignment="1">
      <alignment horizontal="right" vertical="top" wrapText="1"/>
    </xf>
    <xf numFmtId="0" fontId="22" fillId="0" borderId="13" xfId="0" applyFont="1" applyBorder="1" applyAlignment="1">
      <alignment vertical="top" wrapText="1"/>
    </xf>
    <xf numFmtId="3" fontId="49" fillId="0" borderId="13" xfId="0" applyNumberFormat="1" applyFont="1" applyBorder="1"/>
    <xf numFmtId="0" fontId="49" fillId="0" borderId="13" xfId="0" applyFont="1" applyBorder="1" applyAlignment="1">
      <alignment horizontal="right" vertical="top" wrapText="1"/>
    </xf>
    <xf numFmtId="0" fontId="27" fillId="0" borderId="13" xfId="0" applyFont="1" applyBorder="1" applyAlignment="1">
      <alignment vertical="top" wrapText="1"/>
    </xf>
    <xf numFmtId="3" fontId="22" fillId="0" borderId="13" xfId="2" applyNumberFormat="1" applyFont="1" applyFill="1" applyBorder="1" applyAlignment="1">
      <alignment horizontal="right" vertical="center" wrapText="1"/>
    </xf>
    <xf numFmtId="0" fontId="27" fillId="0" borderId="13" xfId="0" applyFont="1" applyBorder="1" applyAlignment="1">
      <alignment horizontal="right" vertical="top" wrapText="1"/>
    </xf>
    <xf numFmtId="0" fontId="48" fillId="0" borderId="13" xfId="0" applyFont="1" applyBorder="1"/>
    <xf numFmtId="0" fontId="22" fillId="0" borderId="13" xfId="0" quotePrefix="1" applyFont="1" applyBorder="1" applyAlignment="1">
      <alignment vertical="top" wrapText="1"/>
    </xf>
    <xf numFmtId="0" fontId="22" fillId="0" borderId="13" xfId="0" applyFont="1" applyBorder="1" applyAlignment="1">
      <alignment vertical="center" wrapText="1"/>
    </xf>
    <xf numFmtId="0" fontId="27" fillId="0" borderId="13" xfId="0" quotePrefix="1" applyFont="1" applyBorder="1" applyAlignment="1">
      <alignment vertical="top" wrapText="1"/>
    </xf>
    <xf numFmtId="0" fontId="25" fillId="0" borderId="18" xfId="0" applyFont="1" applyBorder="1" applyAlignment="1">
      <alignment horizontal="right" vertical="top" wrapText="1"/>
    </xf>
    <xf numFmtId="0" fontId="25" fillId="0" borderId="18" xfId="0" applyFont="1" applyBorder="1" applyAlignment="1">
      <alignment vertical="top" wrapText="1"/>
    </xf>
    <xf numFmtId="3" fontId="25" fillId="0" borderId="18" xfId="0" applyNumberFormat="1" applyFont="1" applyBorder="1" applyAlignment="1">
      <alignment horizontal="right" vertical="top" wrapText="1"/>
    </xf>
    <xf numFmtId="0" fontId="49" fillId="0" borderId="18" xfId="0" applyFont="1" applyBorder="1"/>
    <xf numFmtId="0" fontId="53" fillId="0" borderId="0" xfId="0" applyFont="1" applyAlignment="1">
      <alignment vertical="center" wrapText="1"/>
    </xf>
    <xf numFmtId="0" fontId="53" fillId="0" borderId="0" xfId="0" applyFont="1" applyAlignment="1">
      <alignment vertical="center"/>
    </xf>
    <xf numFmtId="0" fontId="53" fillId="0" borderId="0" xfId="0" applyFont="1"/>
    <xf numFmtId="0" fontId="7" fillId="2" borderId="0" xfId="0" applyFont="1" applyFill="1" applyAlignment="1">
      <alignment horizontal="center" vertical="top"/>
    </xf>
    <xf numFmtId="1" fontId="7" fillId="2" borderId="13" xfId="3" applyNumberFormat="1" applyFont="1" applyFill="1" applyBorder="1" applyAlignment="1">
      <alignment horizontal="right" vertical="top"/>
    </xf>
    <xf numFmtId="1" fontId="7" fillId="2" borderId="13" xfId="3" quotePrefix="1" applyNumberFormat="1" applyFont="1" applyFill="1" applyBorder="1" applyAlignment="1">
      <alignment horizontal="justify" vertical="top" wrapText="1"/>
    </xf>
    <xf numFmtId="3" fontId="7" fillId="2" borderId="13" xfId="3" applyNumberFormat="1" applyFont="1" applyFill="1" applyBorder="1" applyAlignment="1">
      <alignment horizontal="center" vertical="top" wrapText="1"/>
    </xf>
    <xf numFmtId="3" fontId="7" fillId="2" borderId="13" xfId="3" applyNumberFormat="1" applyFont="1" applyFill="1" applyBorder="1" applyAlignment="1">
      <alignment horizontal="right" vertical="top" wrapText="1"/>
    </xf>
    <xf numFmtId="3" fontId="7" fillId="2" borderId="13" xfId="0" applyNumberFormat="1" applyFont="1" applyFill="1" applyBorder="1" applyAlignment="1">
      <alignment horizontal="right" vertical="top" wrapText="1"/>
    </xf>
    <xf numFmtId="167" fontId="7" fillId="2" borderId="13" xfId="1" applyNumberFormat="1" applyFont="1" applyFill="1" applyBorder="1" applyAlignment="1">
      <alignment horizontal="right" vertical="top"/>
    </xf>
    <xf numFmtId="3" fontId="7" fillId="2" borderId="13" xfId="0" quotePrefix="1" applyNumberFormat="1" applyFont="1" applyFill="1" applyBorder="1" applyAlignment="1">
      <alignment horizontal="center" vertical="top" wrapText="1"/>
    </xf>
    <xf numFmtId="3" fontId="7" fillId="2" borderId="13" xfId="1" applyNumberFormat="1" applyFont="1" applyFill="1" applyBorder="1" applyAlignment="1">
      <alignment horizontal="right" vertical="top" wrapText="1"/>
    </xf>
    <xf numFmtId="0" fontId="7" fillId="2" borderId="0" xfId="0" applyFont="1" applyFill="1" applyAlignment="1">
      <alignment vertical="top"/>
    </xf>
    <xf numFmtId="3" fontId="7" fillId="2" borderId="13" xfId="0" applyNumberFormat="1" applyFont="1" applyFill="1" applyBorder="1" applyAlignment="1">
      <alignment horizontal="center" vertical="top" wrapText="1"/>
    </xf>
    <xf numFmtId="0" fontId="7" fillId="2" borderId="13" xfId="0" applyFont="1" applyFill="1" applyBorder="1" applyAlignment="1">
      <alignment horizontal="right" vertical="top" wrapText="1"/>
    </xf>
    <xf numFmtId="3" fontId="8" fillId="2" borderId="13" xfId="0" applyNumberFormat="1" applyFont="1" applyFill="1" applyBorder="1" applyAlignment="1">
      <alignment horizontal="right" vertical="top" wrapText="1"/>
    </xf>
    <xf numFmtId="3" fontId="7" fillId="2" borderId="13" xfId="0" applyNumberFormat="1" applyFont="1" applyFill="1" applyBorder="1" applyAlignment="1">
      <alignment horizontal="right" vertical="top"/>
    </xf>
    <xf numFmtId="3" fontId="7" fillId="2" borderId="0" xfId="0" applyNumberFormat="1" applyFont="1" applyFill="1" applyAlignment="1">
      <alignment vertical="center"/>
    </xf>
    <xf numFmtId="3" fontId="7" fillId="2" borderId="0" xfId="0" applyNumberFormat="1" applyFont="1" applyFill="1" applyAlignment="1">
      <alignment vertical="top"/>
    </xf>
    <xf numFmtId="0" fontId="24" fillId="0" borderId="2" xfId="0" applyFont="1" applyBorder="1" applyAlignment="1">
      <alignment horizontal="right"/>
    </xf>
    <xf numFmtId="0" fontId="11" fillId="0" borderId="0" xfId="4" applyFont="1" applyAlignment="1">
      <alignment horizontal="center" vertical="center" wrapText="1"/>
    </xf>
    <xf numFmtId="0" fontId="12" fillId="0" borderId="0" xfId="4" applyFont="1" applyAlignment="1">
      <alignment horizontal="center" vertical="center" wrapText="1"/>
    </xf>
    <xf numFmtId="0" fontId="25" fillId="0" borderId="1" xfId="0" applyFont="1" applyBorder="1" applyAlignment="1">
      <alignment horizontal="center" vertical="center" wrapText="1"/>
    </xf>
    <xf numFmtId="0" fontId="11" fillId="0" borderId="1" xfId="0" applyFont="1" applyBorder="1" applyAlignment="1">
      <alignment horizontal="center" vertical="center"/>
    </xf>
    <xf numFmtId="0" fontId="25" fillId="0" borderId="0" xfId="0" applyFont="1" applyAlignment="1">
      <alignment horizontal="center" vertical="center" wrapText="1"/>
    </xf>
    <xf numFmtId="0" fontId="26" fillId="0" borderId="1" xfId="0" applyFont="1" applyBorder="1" applyAlignment="1">
      <alignment horizontal="center" vertical="center" wrapText="1"/>
    </xf>
    <xf numFmtId="0" fontId="51" fillId="0" borderId="0" xfId="0" applyFont="1" applyAlignment="1">
      <alignment horizontal="center" vertical="center" wrapText="1"/>
    </xf>
    <xf numFmtId="0" fontId="54" fillId="0" borderId="0" xfId="0" applyFont="1" applyAlignment="1">
      <alignment horizontal="center" vertical="center" wrapText="1"/>
    </xf>
    <xf numFmtId="0" fontId="50" fillId="0" borderId="0" xfId="0" applyFont="1" applyAlignment="1">
      <alignment horizontal="right"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41" fillId="0" borderId="1" xfId="0" applyFont="1" applyBorder="1" applyAlignment="1">
      <alignment horizontal="center" vertical="center" wrapText="1"/>
    </xf>
    <xf numFmtId="0" fontId="41" fillId="0" borderId="6" xfId="0" applyFont="1" applyBorder="1" applyAlignment="1">
      <alignment horizontal="center" vertical="center" wrapText="1"/>
    </xf>
    <xf numFmtId="0" fontId="41" fillId="0" borderId="7"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4"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5" xfId="0" applyFont="1" applyBorder="1" applyAlignment="1">
      <alignment horizontal="center" vertical="center" wrapText="1"/>
    </xf>
    <xf numFmtId="0" fontId="51" fillId="0" borderId="0" xfId="0" applyFont="1" applyAlignment="1">
      <alignment horizontal="center"/>
    </xf>
    <xf numFmtId="0" fontId="51" fillId="0" borderId="0" xfId="0" applyFont="1" applyAlignment="1">
      <alignment horizontal="center" wrapText="1"/>
    </xf>
    <xf numFmtId="0" fontId="54" fillId="0" borderId="0" xfId="0" applyFont="1" applyAlignment="1">
      <alignment horizontal="center" vertical="center"/>
    </xf>
    <xf numFmtId="0" fontId="50" fillId="0" borderId="2" xfId="0" applyFont="1" applyBorder="1" applyAlignment="1">
      <alignment horizontal="right"/>
    </xf>
    <xf numFmtId="0" fontId="8" fillId="0" borderId="3" xfId="0" applyFont="1" applyBorder="1" applyAlignment="1">
      <alignment horizontal="center" vertical="center" wrapText="1"/>
    </xf>
  </cellXfs>
  <cellStyles count="31">
    <cellStyle name="Comma" xfId="1" builtinId="3"/>
    <cellStyle name="Comma [0] 3" xfId="10"/>
    <cellStyle name="Comma 10 10" xfId="12"/>
    <cellStyle name="Comma 10 2" xfId="19"/>
    <cellStyle name="Comma 11 2" xfId="20"/>
    <cellStyle name="Comma 12 2" xfId="15"/>
    <cellStyle name="Comma 16 3" xfId="7"/>
    <cellStyle name="Comma 2 2" xfId="21"/>
    <cellStyle name="Comma 3" xfId="2"/>
    <cellStyle name="Comma 4" xfId="26"/>
    <cellStyle name="Comma 58" xfId="14"/>
    <cellStyle name="Hyperlink" xfId="27" builtinId="8"/>
    <cellStyle name="Normal" xfId="0" builtinId="0"/>
    <cellStyle name="Normal 10" xfId="17"/>
    <cellStyle name="Normal 10 2" xfId="4"/>
    <cellStyle name="Normal 11" xfId="5"/>
    <cellStyle name="Normal 2" xfId="6"/>
    <cellStyle name="Normal 2 13" xfId="29"/>
    <cellStyle name="Normal 2 2" xfId="30"/>
    <cellStyle name="Normal 2 3 2" xfId="11"/>
    <cellStyle name="Normal 3 5" xfId="9"/>
    <cellStyle name="Normal 55 2" xfId="8"/>
    <cellStyle name="Normal_2.TLP2018" xfId="25"/>
    <cellStyle name="Normal_46 (Kiên)" xfId="22"/>
    <cellStyle name="Normal_Bieu mau (CV )" xfId="3"/>
    <cellStyle name="Normal_Bieu mau (CV ) 2 2" xfId="28"/>
    <cellStyle name="Normal_KH Trung han 2016-2020" xfId="18"/>
    <cellStyle name="Normal_Sheet1" xfId="16"/>
    <cellStyle name="Normal_VHXH 2021 - 2025_1" xfId="23"/>
    <cellStyle name="Normal_VON ĐAU TƯ" xfId="24"/>
    <cellStyle name="Percent" xfId="13" builtinId="5"/>
  </cellStyles>
  <dxfs count="6">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29FC80\1b.%20PHU-LUC%20KH21(20-7)-i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0Viec%20co%20quan/1.%20Cong%20tac%20TH%20ke%20hoach%20von%20dau%20tu%20cong/2.%20Xay%20dung%20Ke%20hoach%20hang%20nam/Xay%20dung%20ke%20hoach%20nam%202023/in/2022_8_Bao%20cao%20KH2023/so%20lieu%20bao%20cao/Bang%20so%20sanh%20KH21,%2022,%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1KH20-21"/>
      <sheetName val="PL1a PAKH von"/>
      <sheetName val="PL2 DA21"/>
      <sheetName val="PL2a KCM21"/>
      <sheetName val="ttxs"/>
      <sheetName val="Ghi chu"/>
    </sheetNames>
    <sheetDataSet>
      <sheetData sheetId="0"/>
      <sheetData sheetId="1"/>
      <sheetData sheetId="2">
        <row r="32">
          <cell r="P32">
            <v>0</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L1-TH"/>
      <sheetName val="PL2 PA"/>
      <sheetName val="PL1a PAV"/>
      <sheetName val="PL2-PA DA (rut gon)"/>
      <sheetName val="PL2-PA DA"/>
      <sheetName val="PL2a-PA DA (KCM)"/>
      <sheetName val="CDT BC"/>
      <sheetName val="I.a"/>
      <sheetName val="I.b"/>
      <sheetName val="II.NSTW"/>
      <sheetName val="III.ODA"/>
      <sheetName val="IV.hop"/>
      <sheetName val="Sheet7"/>
      <sheetName val="Sheet2"/>
      <sheetName val="GOc"/>
    </sheetNames>
    <sheetDataSet>
      <sheetData sheetId="0"/>
      <sheetData sheetId="1"/>
      <sheetData sheetId="2"/>
      <sheetData sheetId="3"/>
      <sheetData sheetId="4"/>
      <sheetData sheetId="5">
        <row r="17">
          <cell r="BJ17">
            <v>0</v>
          </cell>
          <cell r="BK17">
            <v>0</v>
          </cell>
        </row>
        <row r="18">
          <cell r="BJ18">
            <v>0</v>
          </cell>
          <cell r="BK18">
            <v>0</v>
          </cell>
        </row>
      </sheetData>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zoomScale="82" zoomScaleNormal="82" workbookViewId="0">
      <selection activeCell="A5" sqref="A5:D5"/>
    </sheetView>
  </sheetViews>
  <sheetFormatPr defaultColWidth="8.75" defaultRowHeight="14.25"/>
  <cols>
    <col min="1" max="1" width="5.375" style="203" customWidth="1"/>
    <col min="2" max="2" width="50.875" style="203" customWidth="1"/>
    <col min="3" max="3" width="20.375" style="203" customWidth="1"/>
    <col min="4" max="4" width="17.25" style="203" customWidth="1"/>
    <col min="5" max="16384" width="8.75" style="203"/>
  </cols>
  <sheetData>
    <row r="1" spans="1:4" s="2" customFormat="1" ht="56.25" customHeight="1">
      <c r="A1" s="504" t="s">
        <v>1042</v>
      </c>
      <c r="B1" s="504"/>
      <c r="C1" s="504"/>
      <c r="D1" s="504"/>
    </row>
    <row r="2" spans="1:4" s="2" customFormat="1" ht="26.1" hidden="1" customHeight="1">
      <c r="A2" s="505" t="s">
        <v>1037</v>
      </c>
      <c r="B2" s="505"/>
      <c r="C2" s="505"/>
      <c r="D2" s="505"/>
    </row>
    <row r="3" spans="1:4" s="2" customFormat="1" ht="26.1" hidden="1" customHeight="1">
      <c r="A3" s="505" t="s">
        <v>1032</v>
      </c>
      <c r="B3" s="505"/>
      <c r="C3" s="505"/>
      <c r="D3" s="505"/>
    </row>
    <row r="4" spans="1:4" s="2" customFormat="1" ht="26.1" hidden="1" customHeight="1">
      <c r="A4" s="505" t="s">
        <v>591</v>
      </c>
      <c r="B4" s="505"/>
      <c r="C4" s="505"/>
      <c r="D4" s="505"/>
    </row>
    <row r="5" spans="1:4" s="2" customFormat="1" ht="39.75" customHeight="1">
      <c r="A5" s="505" t="s">
        <v>1064</v>
      </c>
      <c r="B5" s="505"/>
      <c r="C5" s="505"/>
      <c r="D5" s="505"/>
    </row>
    <row r="6" spans="1:4" s="2" customFormat="1" ht="9.6" customHeight="1">
      <c r="A6" s="209"/>
      <c r="B6" s="209"/>
      <c r="C6" s="209"/>
    </row>
    <row r="7" spans="1:4" ht="20.25" customHeight="1">
      <c r="C7" s="503" t="s">
        <v>570</v>
      </c>
      <c r="D7" s="503"/>
    </row>
    <row r="8" spans="1:4" ht="42" customHeight="1">
      <c r="A8" s="459" t="s">
        <v>0</v>
      </c>
      <c r="B8" s="459" t="s">
        <v>1</v>
      </c>
      <c r="C8" s="459" t="s">
        <v>1059</v>
      </c>
      <c r="D8" s="459" t="s">
        <v>21</v>
      </c>
    </row>
    <row r="9" spans="1:4" s="210" customFormat="1" ht="23.1" customHeight="1">
      <c r="A9" s="460">
        <v>1</v>
      </c>
      <c r="B9" s="460">
        <v>2</v>
      </c>
      <c r="C9" s="460">
        <v>3</v>
      </c>
      <c r="D9" s="460">
        <v>4</v>
      </c>
    </row>
    <row r="10" spans="1:4" s="204" customFormat="1" ht="21" customHeight="1">
      <c r="A10" s="407"/>
      <c r="B10" s="407" t="s">
        <v>813</v>
      </c>
      <c r="C10" s="409">
        <f>C12+C20</f>
        <v>5978971</v>
      </c>
      <c r="D10" s="461"/>
    </row>
    <row r="11" spans="1:4" s="208" customFormat="1" ht="53.1" hidden="1" customHeight="1">
      <c r="A11" s="462" t="s">
        <v>589</v>
      </c>
      <c r="B11" s="463" t="s">
        <v>814</v>
      </c>
      <c r="C11" s="464">
        <f>C12+C20</f>
        <v>5978971</v>
      </c>
      <c r="D11" s="465"/>
    </row>
    <row r="12" spans="1:4" s="205" customFormat="1" ht="18" customHeight="1">
      <c r="A12" s="466" t="s">
        <v>4</v>
      </c>
      <c r="B12" s="467" t="s">
        <v>5</v>
      </c>
      <c r="C12" s="175">
        <f t="shared" ref="C12" si="0">C13+C16+C17</f>
        <v>3561000</v>
      </c>
      <c r="D12" s="468"/>
    </row>
    <row r="13" spans="1:4" s="205" customFormat="1" ht="18" customHeight="1">
      <c r="A13" s="469">
        <v>1</v>
      </c>
      <c r="B13" s="470" t="s">
        <v>6</v>
      </c>
      <c r="C13" s="189">
        <f>C14+C15</f>
        <v>1061000</v>
      </c>
      <c r="D13" s="471"/>
    </row>
    <row r="14" spans="1:4" s="205" customFormat="1" ht="16.5">
      <c r="A14" s="472"/>
      <c r="B14" s="473" t="s">
        <v>7</v>
      </c>
      <c r="C14" s="187">
        <v>540000</v>
      </c>
      <c r="D14" s="468"/>
    </row>
    <row r="15" spans="1:4" s="205" customFormat="1" ht="15.75" customHeight="1">
      <c r="A15" s="472"/>
      <c r="B15" s="473" t="s">
        <v>8</v>
      </c>
      <c r="C15" s="187">
        <v>521000</v>
      </c>
      <c r="D15" s="468"/>
    </row>
    <row r="16" spans="1:4" s="205" customFormat="1" ht="18.600000000000001" customHeight="1">
      <c r="A16" s="469">
        <v>2</v>
      </c>
      <c r="B16" s="470" t="s">
        <v>9</v>
      </c>
      <c r="C16" s="189">
        <v>1600000</v>
      </c>
      <c r="D16" s="468"/>
    </row>
    <row r="17" spans="1:4" s="205" customFormat="1" ht="18.600000000000001" customHeight="1">
      <c r="A17" s="469">
        <v>3</v>
      </c>
      <c r="B17" s="470" t="s">
        <v>14</v>
      </c>
      <c r="C17" s="474">
        <v>900000</v>
      </c>
      <c r="D17" s="468"/>
    </row>
    <row r="18" spans="1:4" s="329" customFormat="1" ht="16.5">
      <c r="A18" s="475"/>
      <c r="B18" s="473" t="s">
        <v>7</v>
      </c>
      <c r="C18" s="187">
        <v>100000</v>
      </c>
      <c r="D18" s="476"/>
    </row>
    <row r="19" spans="1:4" s="329" customFormat="1" ht="16.5">
      <c r="A19" s="475"/>
      <c r="B19" s="473" t="s">
        <v>8</v>
      </c>
      <c r="C19" s="187">
        <v>800000</v>
      </c>
      <c r="D19" s="476"/>
    </row>
    <row r="20" spans="1:4" s="205" customFormat="1" ht="16.5">
      <c r="A20" s="466" t="s">
        <v>10</v>
      </c>
      <c r="B20" s="467" t="s">
        <v>11</v>
      </c>
      <c r="C20" s="175">
        <f>C21+C25+C22</f>
        <v>2417971</v>
      </c>
      <c r="D20" s="468"/>
    </row>
    <row r="21" spans="1:4" s="205" customFormat="1" ht="17.45" customHeight="1">
      <c r="A21" s="469">
        <v>1</v>
      </c>
      <c r="B21" s="470" t="s">
        <v>1043</v>
      </c>
      <c r="C21" s="189">
        <v>1115300</v>
      </c>
      <c r="D21" s="470"/>
    </row>
    <row r="22" spans="1:4" s="205" customFormat="1" ht="25.5" customHeight="1">
      <c r="A22" s="469">
        <v>2</v>
      </c>
      <c r="B22" s="477" t="s">
        <v>815</v>
      </c>
      <c r="C22" s="189">
        <f>C23+C24</f>
        <v>132171</v>
      </c>
      <c r="D22" s="478"/>
    </row>
    <row r="23" spans="1:4" s="329" customFormat="1" ht="18.600000000000001" customHeight="1">
      <c r="A23" s="475"/>
      <c r="B23" s="479" t="s">
        <v>816</v>
      </c>
      <c r="C23" s="187">
        <v>4341</v>
      </c>
      <c r="D23" s="179"/>
    </row>
    <row r="24" spans="1:4" s="329" customFormat="1" ht="17.45" customHeight="1">
      <c r="A24" s="475"/>
      <c r="B24" s="479" t="s">
        <v>1060</v>
      </c>
      <c r="C24" s="187">
        <v>127830</v>
      </c>
      <c r="D24" s="179"/>
    </row>
    <row r="25" spans="1:4" s="205" customFormat="1" ht="18.600000000000001" customHeight="1">
      <c r="A25" s="469">
        <v>3</v>
      </c>
      <c r="B25" s="477" t="s">
        <v>817</v>
      </c>
      <c r="C25" s="189">
        <v>1170500</v>
      </c>
      <c r="D25" s="468"/>
    </row>
    <row r="26" spans="1:4" ht="16.5">
      <c r="A26" s="480"/>
      <c r="B26" s="481"/>
      <c r="C26" s="482"/>
      <c r="D26" s="483"/>
    </row>
    <row r="28" spans="1:4" s="206" customFormat="1" ht="15.75" hidden="1">
      <c r="B28" s="207" t="s">
        <v>576</v>
      </c>
    </row>
    <row r="29" spans="1:4" s="206" customFormat="1" ht="63.6" hidden="1" customHeight="1">
      <c r="B29" s="212" t="s">
        <v>583</v>
      </c>
      <c r="C29" s="212"/>
    </row>
    <row r="30" spans="1:4" hidden="1"/>
    <row r="31" spans="1:4" hidden="1"/>
  </sheetData>
  <mergeCells count="6">
    <mergeCell ref="C7:D7"/>
    <mergeCell ref="A1:D1"/>
    <mergeCell ref="A2:D2"/>
    <mergeCell ref="A3:D3"/>
    <mergeCell ref="A4:D4"/>
    <mergeCell ref="A5:D5"/>
  </mergeCells>
  <printOptions horizontalCentered="1"/>
  <pageMargins left="0.39370078740157499" right="0.39370078740157499" top="0.59055118110236204" bottom="0.47244094488188998" header="0.31496062992126" footer="0.31496062992126"/>
  <pageSetup paperSize="9" scale="93" fitToHeight="0" orientation="portrait" verticalDpi="300" r:id="rId1"/>
  <headerFooter>
    <oddHeader>&amp;R&amp;"Times New Roman,Regular"PL1:TH2023</oddHeader>
    <oddFooter>&amp;R&amp;"Times New Roman,Regular"&amp;P/&amp;N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K48"/>
  <sheetViews>
    <sheetView showGridLines="0" showZeros="0" topLeftCell="A2" zoomScale="60" zoomScaleNormal="60" workbookViewId="0">
      <selection activeCell="A6" sqref="A6:O6"/>
    </sheetView>
  </sheetViews>
  <sheetFormatPr defaultRowHeight="18.75"/>
  <cols>
    <col min="1" max="1" width="5.25" style="7" customWidth="1"/>
    <col min="2" max="2" width="40.875" style="8" customWidth="1"/>
    <col min="3" max="3" width="14" style="8" customWidth="1"/>
    <col min="4" max="4" width="11.875" style="8" customWidth="1"/>
    <col min="5" max="5" width="15.25" style="8" customWidth="1"/>
    <col min="6" max="6" width="9.875" style="8" customWidth="1"/>
    <col min="7" max="7" width="14.25" style="8" customWidth="1"/>
    <col min="8" max="8" width="11.25" style="8" customWidth="1"/>
    <col min="9" max="9" width="14.75" style="8" customWidth="1"/>
    <col min="10" max="10" width="11.375" style="8" customWidth="1"/>
    <col min="11" max="11" width="12.375" style="8" customWidth="1"/>
    <col min="12" max="12" width="11.125" style="8" customWidth="1"/>
    <col min="13" max="13" width="12" style="8" customWidth="1"/>
    <col min="14" max="14" width="12.375" style="8" customWidth="1"/>
    <col min="15" max="15" width="11.375" style="7" customWidth="1"/>
    <col min="16" max="16" width="17.25" style="8" hidden="1" customWidth="1"/>
    <col min="17" max="17" width="18" style="8" hidden="1" customWidth="1"/>
    <col min="18" max="18" width="14" style="8" hidden="1" customWidth="1"/>
    <col min="19" max="19" width="13.75" style="8" hidden="1" customWidth="1"/>
    <col min="20" max="22" width="14.75" style="8" hidden="1" customWidth="1"/>
    <col min="23" max="23" width="9.125" style="8" hidden="1" customWidth="1"/>
    <col min="24" max="25" width="14.375" style="8" hidden="1" customWidth="1"/>
    <col min="26" max="26" width="16.125" style="8" hidden="1" customWidth="1"/>
    <col min="27" max="27" width="14.25" style="8" hidden="1" customWidth="1"/>
    <col min="28" max="55" width="9.125" style="8" hidden="1" customWidth="1"/>
    <col min="56" max="85" width="0" style="8" hidden="1" customWidth="1"/>
    <col min="86" max="86" width="8.75" style="8"/>
    <col min="87" max="87" width="18.125" style="8" bestFit="1" customWidth="1"/>
    <col min="88" max="88" width="8.75" style="8"/>
    <col min="89" max="89" width="12.75" style="8" bestFit="1" customWidth="1"/>
    <col min="90" max="244" width="8.75" style="8"/>
    <col min="245" max="245" width="7.75" style="8" customWidth="1"/>
    <col min="246" max="246" width="32.375" style="8" customWidth="1"/>
    <col min="247" max="247" width="14.875" style="8" customWidth="1"/>
    <col min="248" max="248" width="10.375" style="8" customWidth="1"/>
    <col min="249" max="249" width="13.25" style="8" customWidth="1"/>
    <col min="250" max="250" width="12.125" style="8" customWidth="1"/>
    <col min="251" max="251" width="13.25" style="8" customWidth="1"/>
    <col min="252" max="252" width="12" style="8" customWidth="1"/>
    <col min="253" max="253" width="13.25" style="8" customWidth="1"/>
    <col min="254" max="254" width="11.875" style="8" customWidth="1"/>
    <col min="255" max="255" width="13.75" style="8" customWidth="1"/>
    <col min="256" max="256" width="12.375" style="8" customWidth="1"/>
    <col min="257" max="257" width="13.25" style="8" customWidth="1"/>
    <col min="258" max="258" width="11" style="8" customWidth="1"/>
    <col min="259" max="259" width="7.375" style="8" customWidth="1"/>
    <col min="260" max="260" width="17.25" style="8" bestFit="1" customWidth="1"/>
    <col min="261" max="261" width="9.125" style="8" customWidth="1"/>
    <col min="262" max="500" width="8.75" style="8"/>
    <col min="501" max="501" width="7.75" style="8" customWidth="1"/>
    <col min="502" max="502" width="32.375" style="8" customWidth="1"/>
    <col min="503" max="503" width="14.875" style="8" customWidth="1"/>
    <col min="504" max="504" width="10.375" style="8" customWidth="1"/>
    <col min="505" max="505" width="13.25" style="8" customWidth="1"/>
    <col min="506" max="506" width="12.125" style="8" customWidth="1"/>
    <col min="507" max="507" width="13.25" style="8" customWidth="1"/>
    <col min="508" max="508" width="12" style="8" customWidth="1"/>
    <col min="509" max="509" width="13.25" style="8" customWidth="1"/>
    <col min="510" max="510" width="11.875" style="8" customWidth="1"/>
    <col min="511" max="511" width="13.75" style="8" customWidth="1"/>
    <col min="512" max="512" width="12.375" style="8" customWidth="1"/>
    <col min="513" max="513" width="13.25" style="8" customWidth="1"/>
    <col min="514" max="514" width="11" style="8" customWidth="1"/>
    <col min="515" max="515" width="7.375" style="8" customWidth="1"/>
    <col min="516" max="516" width="17.25" style="8" bestFit="1" customWidth="1"/>
    <col min="517" max="517" width="9.125" style="8" customWidth="1"/>
    <col min="518" max="756" width="8.75" style="8"/>
    <col min="757" max="757" width="7.75" style="8" customWidth="1"/>
    <col min="758" max="758" width="32.375" style="8" customWidth="1"/>
    <col min="759" max="759" width="14.875" style="8" customWidth="1"/>
    <col min="760" max="760" width="10.375" style="8" customWidth="1"/>
    <col min="761" max="761" width="13.25" style="8" customWidth="1"/>
    <col min="762" max="762" width="12.125" style="8" customWidth="1"/>
    <col min="763" max="763" width="13.25" style="8" customWidth="1"/>
    <col min="764" max="764" width="12" style="8" customWidth="1"/>
    <col min="765" max="765" width="13.25" style="8" customWidth="1"/>
    <col min="766" max="766" width="11.875" style="8" customWidth="1"/>
    <col min="767" max="767" width="13.75" style="8" customWidth="1"/>
    <col min="768" max="768" width="12.375" style="8" customWidth="1"/>
    <col min="769" max="769" width="13.25" style="8" customWidth="1"/>
    <col min="770" max="770" width="11" style="8" customWidth="1"/>
    <col min="771" max="771" width="7.375" style="8" customWidth="1"/>
    <col min="772" max="772" width="17.25" style="8" bestFit="1" customWidth="1"/>
    <col min="773" max="773" width="9.125" style="8" customWidth="1"/>
    <col min="774" max="1012" width="8.75" style="8"/>
    <col min="1013" max="1013" width="7.75" style="8" customWidth="1"/>
    <col min="1014" max="1014" width="32.375" style="8" customWidth="1"/>
    <col min="1015" max="1015" width="14.875" style="8" customWidth="1"/>
    <col min="1016" max="1016" width="10.375" style="8" customWidth="1"/>
    <col min="1017" max="1017" width="13.25" style="8" customWidth="1"/>
    <col min="1018" max="1018" width="12.125" style="8" customWidth="1"/>
    <col min="1019" max="1019" width="13.25" style="8" customWidth="1"/>
    <col min="1020" max="1020" width="12" style="8" customWidth="1"/>
    <col min="1021" max="1021" width="13.25" style="8" customWidth="1"/>
    <col min="1022" max="1022" width="11.875" style="8" customWidth="1"/>
    <col min="1023" max="1023" width="13.75" style="8" customWidth="1"/>
    <col min="1024" max="1024" width="12.375" style="8" customWidth="1"/>
    <col min="1025" max="1025" width="13.25" style="8" customWidth="1"/>
    <col min="1026" max="1026" width="11" style="8" customWidth="1"/>
    <col min="1027" max="1027" width="7.375" style="8" customWidth="1"/>
    <col min="1028" max="1028" width="17.25" style="8" bestFit="1" customWidth="1"/>
    <col min="1029" max="1029" width="9.125" style="8" customWidth="1"/>
    <col min="1030" max="1268" width="8.75" style="8"/>
    <col min="1269" max="1269" width="7.75" style="8" customWidth="1"/>
    <col min="1270" max="1270" width="32.375" style="8" customWidth="1"/>
    <col min="1271" max="1271" width="14.875" style="8" customWidth="1"/>
    <col min="1272" max="1272" width="10.375" style="8" customWidth="1"/>
    <col min="1273" max="1273" width="13.25" style="8" customWidth="1"/>
    <col min="1274" max="1274" width="12.125" style="8" customWidth="1"/>
    <col min="1275" max="1275" width="13.25" style="8" customWidth="1"/>
    <col min="1276" max="1276" width="12" style="8" customWidth="1"/>
    <col min="1277" max="1277" width="13.25" style="8" customWidth="1"/>
    <col min="1278" max="1278" width="11.875" style="8" customWidth="1"/>
    <col min="1279" max="1279" width="13.75" style="8" customWidth="1"/>
    <col min="1280" max="1280" width="12.375" style="8" customWidth="1"/>
    <col min="1281" max="1281" width="13.25" style="8" customWidth="1"/>
    <col min="1282" max="1282" width="11" style="8" customWidth="1"/>
    <col min="1283" max="1283" width="7.375" style="8" customWidth="1"/>
    <col min="1284" max="1284" width="17.25" style="8" bestFit="1" customWidth="1"/>
    <col min="1285" max="1285" width="9.125" style="8" customWidth="1"/>
    <col min="1286" max="1524" width="8.75" style="8"/>
    <col min="1525" max="1525" width="7.75" style="8" customWidth="1"/>
    <col min="1526" max="1526" width="32.375" style="8" customWidth="1"/>
    <col min="1527" max="1527" width="14.875" style="8" customWidth="1"/>
    <col min="1528" max="1528" width="10.375" style="8" customWidth="1"/>
    <col min="1529" max="1529" width="13.25" style="8" customWidth="1"/>
    <col min="1530" max="1530" width="12.125" style="8" customWidth="1"/>
    <col min="1531" max="1531" width="13.25" style="8" customWidth="1"/>
    <col min="1532" max="1532" width="12" style="8" customWidth="1"/>
    <col min="1533" max="1533" width="13.25" style="8" customWidth="1"/>
    <col min="1534" max="1534" width="11.875" style="8" customWidth="1"/>
    <col min="1535" max="1535" width="13.75" style="8" customWidth="1"/>
    <col min="1536" max="1536" width="12.375" style="8" customWidth="1"/>
    <col min="1537" max="1537" width="13.25" style="8" customWidth="1"/>
    <col min="1538" max="1538" width="11" style="8" customWidth="1"/>
    <col min="1539" max="1539" width="7.375" style="8" customWidth="1"/>
    <col min="1540" max="1540" width="17.25" style="8" bestFit="1" customWidth="1"/>
    <col min="1541" max="1541" width="9.125" style="8" customWidth="1"/>
    <col min="1542" max="1780" width="8.75" style="8"/>
    <col min="1781" max="1781" width="7.75" style="8" customWidth="1"/>
    <col min="1782" max="1782" width="32.375" style="8" customWidth="1"/>
    <col min="1783" max="1783" width="14.875" style="8" customWidth="1"/>
    <col min="1784" max="1784" width="10.375" style="8" customWidth="1"/>
    <col min="1785" max="1785" width="13.25" style="8" customWidth="1"/>
    <col min="1786" max="1786" width="12.125" style="8" customWidth="1"/>
    <col min="1787" max="1787" width="13.25" style="8" customWidth="1"/>
    <col min="1788" max="1788" width="12" style="8" customWidth="1"/>
    <col min="1789" max="1789" width="13.25" style="8" customWidth="1"/>
    <col min="1790" max="1790" width="11.875" style="8" customWidth="1"/>
    <col min="1791" max="1791" width="13.75" style="8" customWidth="1"/>
    <col min="1792" max="1792" width="12.375" style="8" customWidth="1"/>
    <col min="1793" max="1793" width="13.25" style="8" customWidth="1"/>
    <col min="1794" max="1794" width="11" style="8" customWidth="1"/>
    <col min="1795" max="1795" width="7.375" style="8" customWidth="1"/>
    <col min="1796" max="1796" width="17.25" style="8" bestFit="1" customWidth="1"/>
    <col min="1797" max="1797" width="9.125" style="8" customWidth="1"/>
    <col min="1798" max="2036" width="8.75" style="8"/>
    <col min="2037" max="2037" width="7.75" style="8" customWidth="1"/>
    <col min="2038" max="2038" width="32.375" style="8" customWidth="1"/>
    <col min="2039" max="2039" width="14.875" style="8" customWidth="1"/>
    <col min="2040" max="2040" width="10.375" style="8" customWidth="1"/>
    <col min="2041" max="2041" width="13.25" style="8" customWidth="1"/>
    <col min="2042" max="2042" width="12.125" style="8" customWidth="1"/>
    <col min="2043" max="2043" width="13.25" style="8" customWidth="1"/>
    <col min="2044" max="2044" width="12" style="8" customWidth="1"/>
    <col min="2045" max="2045" width="13.25" style="8" customWidth="1"/>
    <col min="2046" max="2046" width="11.875" style="8" customWidth="1"/>
    <col min="2047" max="2047" width="13.75" style="8" customWidth="1"/>
    <col min="2048" max="2048" width="12.375" style="8" customWidth="1"/>
    <col min="2049" max="2049" width="13.25" style="8" customWidth="1"/>
    <col min="2050" max="2050" width="11" style="8" customWidth="1"/>
    <col min="2051" max="2051" width="7.375" style="8" customWidth="1"/>
    <col min="2052" max="2052" width="17.25" style="8" bestFit="1" customWidth="1"/>
    <col min="2053" max="2053" width="9.125" style="8" customWidth="1"/>
    <col min="2054" max="2292" width="8.75" style="8"/>
    <col min="2293" max="2293" width="7.75" style="8" customWidth="1"/>
    <col min="2294" max="2294" width="32.375" style="8" customWidth="1"/>
    <col min="2295" max="2295" width="14.875" style="8" customWidth="1"/>
    <col min="2296" max="2296" width="10.375" style="8" customWidth="1"/>
    <col min="2297" max="2297" width="13.25" style="8" customWidth="1"/>
    <col min="2298" max="2298" width="12.125" style="8" customWidth="1"/>
    <col min="2299" max="2299" width="13.25" style="8" customWidth="1"/>
    <col min="2300" max="2300" width="12" style="8" customWidth="1"/>
    <col min="2301" max="2301" width="13.25" style="8" customWidth="1"/>
    <col min="2302" max="2302" width="11.875" style="8" customWidth="1"/>
    <col min="2303" max="2303" width="13.75" style="8" customWidth="1"/>
    <col min="2304" max="2304" width="12.375" style="8" customWidth="1"/>
    <col min="2305" max="2305" width="13.25" style="8" customWidth="1"/>
    <col min="2306" max="2306" width="11" style="8" customWidth="1"/>
    <col min="2307" max="2307" width="7.375" style="8" customWidth="1"/>
    <col min="2308" max="2308" width="17.25" style="8" bestFit="1" customWidth="1"/>
    <col min="2309" max="2309" width="9.125" style="8" customWidth="1"/>
    <col min="2310" max="2548" width="8.75" style="8"/>
    <col min="2549" max="2549" width="7.75" style="8" customWidth="1"/>
    <col min="2550" max="2550" width="32.375" style="8" customWidth="1"/>
    <col min="2551" max="2551" width="14.875" style="8" customWidth="1"/>
    <col min="2552" max="2552" width="10.375" style="8" customWidth="1"/>
    <col min="2553" max="2553" width="13.25" style="8" customWidth="1"/>
    <col min="2554" max="2554" width="12.125" style="8" customWidth="1"/>
    <col min="2555" max="2555" width="13.25" style="8" customWidth="1"/>
    <col min="2556" max="2556" width="12" style="8" customWidth="1"/>
    <col min="2557" max="2557" width="13.25" style="8" customWidth="1"/>
    <col min="2558" max="2558" width="11.875" style="8" customWidth="1"/>
    <col min="2559" max="2559" width="13.75" style="8" customWidth="1"/>
    <col min="2560" max="2560" width="12.375" style="8" customWidth="1"/>
    <col min="2561" max="2561" width="13.25" style="8" customWidth="1"/>
    <col min="2562" max="2562" width="11" style="8" customWidth="1"/>
    <col min="2563" max="2563" width="7.375" style="8" customWidth="1"/>
    <col min="2564" max="2564" width="17.25" style="8" bestFit="1" customWidth="1"/>
    <col min="2565" max="2565" width="9.125" style="8" customWidth="1"/>
    <col min="2566" max="2804" width="8.75" style="8"/>
    <col min="2805" max="2805" width="7.75" style="8" customWidth="1"/>
    <col min="2806" max="2806" width="32.375" style="8" customWidth="1"/>
    <col min="2807" max="2807" width="14.875" style="8" customWidth="1"/>
    <col min="2808" max="2808" width="10.375" style="8" customWidth="1"/>
    <col min="2809" max="2809" width="13.25" style="8" customWidth="1"/>
    <col min="2810" max="2810" width="12.125" style="8" customWidth="1"/>
    <col min="2811" max="2811" width="13.25" style="8" customWidth="1"/>
    <col min="2812" max="2812" width="12" style="8" customWidth="1"/>
    <col min="2813" max="2813" width="13.25" style="8" customWidth="1"/>
    <col min="2814" max="2814" width="11.875" style="8" customWidth="1"/>
    <col min="2815" max="2815" width="13.75" style="8" customWidth="1"/>
    <col min="2816" max="2816" width="12.375" style="8" customWidth="1"/>
    <col min="2817" max="2817" width="13.25" style="8" customWidth="1"/>
    <col min="2818" max="2818" width="11" style="8" customWidth="1"/>
    <col min="2819" max="2819" width="7.375" style="8" customWidth="1"/>
    <col min="2820" max="2820" width="17.25" style="8" bestFit="1" customWidth="1"/>
    <col min="2821" max="2821" width="9.125" style="8" customWidth="1"/>
    <col min="2822" max="3060" width="8.75" style="8"/>
    <col min="3061" max="3061" width="7.75" style="8" customWidth="1"/>
    <col min="3062" max="3062" width="32.375" style="8" customWidth="1"/>
    <col min="3063" max="3063" width="14.875" style="8" customWidth="1"/>
    <col min="3064" max="3064" width="10.375" style="8" customWidth="1"/>
    <col min="3065" max="3065" width="13.25" style="8" customWidth="1"/>
    <col min="3066" max="3066" width="12.125" style="8" customWidth="1"/>
    <col min="3067" max="3067" width="13.25" style="8" customWidth="1"/>
    <col min="3068" max="3068" width="12" style="8" customWidth="1"/>
    <col min="3069" max="3069" width="13.25" style="8" customWidth="1"/>
    <col min="3070" max="3070" width="11.875" style="8" customWidth="1"/>
    <col min="3071" max="3071" width="13.75" style="8" customWidth="1"/>
    <col min="3072" max="3072" width="12.375" style="8" customWidth="1"/>
    <col min="3073" max="3073" width="13.25" style="8" customWidth="1"/>
    <col min="3074" max="3074" width="11" style="8" customWidth="1"/>
    <col min="3075" max="3075" width="7.375" style="8" customWidth="1"/>
    <col min="3076" max="3076" width="17.25" style="8" bestFit="1" customWidth="1"/>
    <col min="3077" max="3077" width="9.125" style="8" customWidth="1"/>
    <col min="3078" max="3316" width="8.75" style="8"/>
    <col min="3317" max="3317" width="7.75" style="8" customWidth="1"/>
    <col min="3318" max="3318" width="32.375" style="8" customWidth="1"/>
    <col min="3319" max="3319" width="14.875" style="8" customWidth="1"/>
    <col min="3320" max="3320" width="10.375" style="8" customWidth="1"/>
    <col min="3321" max="3321" width="13.25" style="8" customWidth="1"/>
    <col min="3322" max="3322" width="12.125" style="8" customWidth="1"/>
    <col min="3323" max="3323" width="13.25" style="8" customWidth="1"/>
    <col min="3324" max="3324" width="12" style="8" customWidth="1"/>
    <col min="3325" max="3325" width="13.25" style="8" customWidth="1"/>
    <col min="3326" max="3326" width="11.875" style="8" customWidth="1"/>
    <col min="3327" max="3327" width="13.75" style="8" customWidth="1"/>
    <col min="3328" max="3328" width="12.375" style="8" customWidth="1"/>
    <col min="3329" max="3329" width="13.25" style="8" customWidth="1"/>
    <col min="3330" max="3330" width="11" style="8" customWidth="1"/>
    <col min="3331" max="3331" width="7.375" style="8" customWidth="1"/>
    <col min="3332" max="3332" width="17.25" style="8" bestFit="1" customWidth="1"/>
    <col min="3333" max="3333" width="9.125" style="8" customWidth="1"/>
    <col min="3334" max="3572" width="8.75" style="8"/>
    <col min="3573" max="3573" width="7.75" style="8" customWidth="1"/>
    <col min="3574" max="3574" width="32.375" style="8" customWidth="1"/>
    <col min="3575" max="3575" width="14.875" style="8" customWidth="1"/>
    <col min="3576" max="3576" width="10.375" style="8" customWidth="1"/>
    <col min="3577" max="3577" width="13.25" style="8" customWidth="1"/>
    <col min="3578" max="3578" width="12.125" style="8" customWidth="1"/>
    <col min="3579" max="3579" width="13.25" style="8" customWidth="1"/>
    <col min="3580" max="3580" width="12" style="8" customWidth="1"/>
    <col min="3581" max="3581" width="13.25" style="8" customWidth="1"/>
    <col min="3582" max="3582" width="11.875" style="8" customWidth="1"/>
    <col min="3583" max="3583" width="13.75" style="8" customWidth="1"/>
    <col min="3584" max="3584" width="12.375" style="8" customWidth="1"/>
    <col min="3585" max="3585" width="13.25" style="8" customWidth="1"/>
    <col min="3586" max="3586" width="11" style="8" customWidth="1"/>
    <col min="3587" max="3587" width="7.375" style="8" customWidth="1"/>
    <col min="3588" max="3588" width="17.25" style="8" bestFit="1" customWidth="1"/>
    <col min="3589" max="3589" width="9.125" style="8" customWidth="1"/>
    <col min="3590" max="3828" width="8.75" style="8"/>
    <col min="3829" max="3829" width="7.75" style="8" customWidth="1"/>
    <col min="3830" max="3830" width="32.375" style="8" customWidth="1"/>
    <col min="3831" max="3831" width="14.875" style="8" customWidth="1"/>
    <col min="3832" max="3832" width="10.375" style="8" customWidth="1"/>
    <col min="3833" max="3833" width="13.25" style="8" customWidth="1"/>
    <col min="3834" max="3834" width="12.125" style="8" customWidth="1"/>
    <col min="3835" max="3835" width="13.25" style="8" customWidth="1"/>
    <col min="3836" max="3836" width="12" style="8" customWidth="1"/>
    <col min="3837" max="3837" width="13.25" style="8" customWidth="1"/>
    <col min="3838" max="3838" width="11.875" style="8" customWidth="1"/>
    <col min="3839" max="3839" width="13.75" style="8" customWidth="1"/>
    <col min="3840" max="3840" width="12.375" style="8" customWidth="1"/>
    <col min="3841" max="3841" width="13.25" style="8" customWidth="1"/>
    <col min="3842" max="3842" width="11" style="8" customWidth="1"/>
    <col min="3843" max="3843" width="7.375" style="8" customWidth="1"/>
    <col min="3844" max="3844" width="17.25" style="8" bestFit="1" customWidth="1"/>
    <col min="3845" max="3845" width="9.125" style="8" customWidth="1"/>
    <col min="3846" max="4084" width="8.75" style="8"/>
    <col min="4085" max="4085" width="7.75" style="8" customWidth="1"/>
    <col min="4086" max="4086" width="32.375" style="8" customWidth="1"/>
    <col min="4087" max="4087" width="14.875" style="8" customWidth="1"/>
    <col min="4088" max="4088" width="10.375" style="8" customWidth="1"/>
    <col min="4089" max="4089" width="13.25" style="8" customWidth="1"/>
    <col min="4090" max="4090" width="12.125" style="8" customWidth="1"/>
    <col min="4091" max="4091" width="13.25" style="8" customWidth="1"/>
    <col min="4092" max="4092" width="12" style="8" customWidth="1"/>
    <col min="4093" max="4093" width="13.25" style="8" customWidth="1"/>
    <col min="4094" max="4094" width="11.875" style="8" customWidth="1"/>
    <col min="4095" max="4095" width="13.75" style="8" customWidth="1"/>
    <col min="4096" max="4096" width="12.375" style="8" customWidth="1"/>
    <col min="4097" max="4097" width="13.25" style="8" customWidth="1"/>
    <col min="4098" max="4098" width="11" style="8" customWidth="1"/>
    <col min="4099" max="4099" width="7.375" style="8" customWidth="1"/>
    <col min="4100" max="4100" width="17.25" style="8" bestFit="1" customWidth="1"/>
    <col min="4101" max="4101" width="9.125" style="8" customWidth="1"/>
    <col min="4102" max="4340" width="8.75" style="8"/>
    <col min="4341" max="4341" width="7.75" style="8" customWidth="1"/>
    <col min="4342" max="4342" width="32.375" style="8" customWidth="1"/>
    <col min="4343" max="4343" width="14.875" style="8" customWidth="1"/>
    <col min="4344" max="4344" width="10.375" style="8" customWidth="1"/>
    <col min="4345" max="4345" width="13.25" style="8" customWidth="1"/>
    <col min="4346" max="4346" width="12.125" style="8" customWidth="1"/>
    <col min="4347" max="4347" width="13.25" style="8" customWidth="1"/>
    <col min="4348" max="4348" width="12" style="8" customWidth="1"/>
    <col min="4349" max="4349" width="13.25" style="8" customWidth="1"/>
    <col min="4350" max="4350" width="11.875" style="8" customWidth="1"/>
    <col min="4351" max="4351" width="13.75" style="8" customWidth="1"/>
    <col min="4352" max="4352" width="12.375" style="8" customWidth="1"/>
    <col min="4353" max="4353" width="13.25" style="8" customWidth="1"/>
    <col min="4354" max="4354" width="11" style="8" customWidth="1"/>
    <col min="4355" max="4355" width="7.375" style="8" customWidth="1"/>
    <col min="4356" max="4356" width="17.25" style="8" bestFit="1" customWidth="1"/>
    <col min="4357" max="4357" width="9.125" style="8" customWidth="1"/>
    <col min="4358" max="4596" width="8.75" style="8"/>
    <col min="4597" max="4597" width="7.75" style="8" customWidth="1"/>
    <col min="4598" max="4598" width="32.375" style="8" customWidth="1"/>
    <col min="4599" max="4599" width="14.875" style="8" customWidth="1"/>
    <col min="4600" max="4600" width="10.375" style="8" customWidth="1"/>
    <col min="4601" max="4601" width="13.25" style="8" customWidth="1"/>
    <col min="4602" max="4602" width="12.125" style="8" customWidth="1"/>
    <col min="4603" max="4603" width="13.25" style="8" customWidth="1"/>
    <col min="4604" max="4604" width="12" style="8" customWidth="1"/>
    <col min="4605" max="4605" width="13.25" style="8" customWidth="1"/>
    <col min="4606" max="4606" width="11.875" style="8" customWidth="1"/>
    <col min="4607" max="4607" width="13.75" style="8" customWidth="1"/>
    <col min="4608" max="4608" width="12.375" style="8" customWidth="1"/>
    <col min="4609" max="4609" width="13.25" style="8" customWidth="1"/>
    <col min="4610" max="4610" width="11" style="8" customWidth="1"/>
    <col min="4611" max="4611" width="7.375" style="8" customWidth="1"/>
    <col min="4612" max="4612" width="17.25" style="8" bestFit="1" customWidth="1"/>
    <col min="4613" max="4613" width="9.125" style="8" customWidth="1"/>
    <col min="4614" max="4852" width="8.75" style="8"/>
    <col min="4853" max="4853" width="7.75" style="8" customWidth="1"/>
    <col min="4854" max="4854" width="32.375" style="8" customWidth="1"/>
    <col min="4855" max="4855" width="14.875" style="8" customWidth="1"/>
    <col min="4856" max="4856" width="10.375" style="8" customWidth="1"/>
    <col min="4857" max="4857" width="13.25" style="8" customWidth="1"/>
    <col min="4858" max="4858" width="12.125" style="8" customWidth="1"/>
    <col min="4859" max="4859" width="13.25" style="8" customWidth="1"/>
    <col min="4860" max="4860" width="12" style="8" customWidth="1"/>
    <col min="4861" max="4861" width="13.25" style="8" customWidth="1"/>
    <col min="4862" max="4862" width="11.875" style="8" customWidth="1"/>
    <col min="4863" max="4863" width="13.75" style="8" customWidth="1"/>
    <col min="4864" max="4864" width="12.375" style="8" customWidth="1"/>
    <col min="4865" max="4865" width="13.25" style="8" customWidth="1"/>
    <col min="4866" max="4866" width="11" style="8" customWidth="1"/>
    <col min="4867" max="4867" width="7.375" style="8" customWidth="1"/>
    <col min="4868" max="4868" width="17.25" style="8" bestFit="1" customWidth="1"/>
    <col min="4869" max="4869" width="9.125" style="8" customWidth="1"/>
    <col min="4870" max="5108" width="8.75" style="8"/>
    <col min="5109" max="5109" width="7.75" style="8" customWidth="1"/>
    <col min="5110" max="5110" width="32.375" style="8" customWidth="1"/>
    <col min="5111" max="5111" width="14.875" style="8" customWidth="1"/>
    <col min="5112" max="5112" width="10.375" style="8" customWidth="1"/>
    <col min="5113" max="5113" width="13.25" style="8" customWidth="1"/>
    <col min="5114" max="5114" width="12.125" style="8" customWidth="1"/>
    <col min="5115" max="5115" width="13.25" style="8" customWidth="1"/>
    <col min="5116" max="5116" width="12" style="8" customWidth="1"/>
    <col min="5117" max="5117" width="13.25" style="8" customWidth="1"/>
    <col min="5118" max="5118" width="11.875" style="8" customWidth="1"/>
    <col min="5119" max="5119" width="13.75" style="8" customWidth="1"/>
    <col min="5120" max="5120" width="12.375" style="8" customWidth="1"/>
    <col min="5121" max="5121" width="13.25" style="8" customWidth="1"/>
    <col min="5122" max="5122" width="11" style="8" customWidth="1"/>
    <col min="5123" max="5123" width="7.375" style="8" customWidth="1"/>
    <col min="5124" max="5124" width="17.25" style="8" bestFit="1" customWidth="1"/>
    <col min="5125" max="5125" width="9.125" style="8" customWidth="1"/>
    <col min="5126" max="5364" width="8.75" style="8"/>
    <col min="5365" max="5365" width="7.75" style="8" customWidth="1"/>
    <col min="5366" max="5366" width="32.375" style="8" customWidth="1"/>
    <col min="5367" max="5367" width="14.875" style="8" customWidth="1"/>
    <col min="5368" max="5368" width="10.375" style="8" customWidth="1"/>
    <col min="5369" max="5369" width="13.25" style="8" customWidth="1"/>
    <col min="5370" max="5370" width="12.125" style="8" customWidth="1"/>
    <col min="5371" max="5371" width="13.25" style="8" customWidth="1"/>
    <col min="5372" max="5372" width="12" style="8" customWidth="1"/>
    <col min="5373" max="5373" width="13.25" style="8" customWidth="1"/>
    <col min="5374" max="5374" width="11.875" style="8" customWidth="1"/>
    <col min="5375" max="5375" width="13.75" style="8" customWidth="1"/>
    <col min="5376" max="5376" width="12.375" style="8" customWidth="1"/>
    <col min="5377" max="5377" width="13.25" style="8" customWidth="1"/>
    <col min="5378" max="5378" width="11" style="8" customWidth="1"/>
    <col min="5379" max="5379" width="7.375" style="8" customWidth="1"/>
    <col min="5380" max="5380" width="17.25" style="8" bestFit="1" customWidth="1"/>
    <col min="5381" max="5381" width="9.125" style="8" customWidth="1"/>
    <col min="5382" max="5620" width="8.75" style="8"/>
    <col min="5621" max="5621" width="7.75" style="8" customWidth="1"/>
    <col min="5622" max="5622" width="32.375" style="8" customWidth="1"/>
    <col min="5623" max="5623" width="14.875" style="8" customWidth="1"/>
    <col min="5624" max="5624" width="10.375" style="8" customWidth="1"/>
    <col min="5625" max="5625" width="13.25" style="8" customWidth="1"/>
    <col min="5626" max="5626" width="12.125" style="8" customWidth="1"/>
    <col min="5627" max="5627" width="13.25" style="8" customWidth="1"/>
    <col min="5628" max="5628" width="12" style="8" customWidth="1"/>
    <col min="5629" max="5629" width="13.25" style="8" customWidth="1"/>
    <col min="5630" max="5630" width="11.875" style="8" customWidth="1"/>
    <col min="5631" max="5631" width="13.75" style="8" customWidth="1"/>
    <col min="5632" max="5632" width="12.375" style="8" customWidth="1"/>
    <col min="5633" max="5633" width="13.25" style="8" customWidth="1"/>
    <col min="5634" max="5634" width="11" style="8" customWidth="1"/>
    <col min="5635" max="5635" width="7.375" style="8" customWidth="1"/>
    <col min="5636" max="5636" width="17.25" style="8" bestFit="1" customWidth="1"/>
    <col min="5637" max="5637" width="9.125" style="8" customWidth="1"/>
    <col min="5638" max="5876" width="8.75" style="8"/>
    <col min="5877" max="5877" width="7.75" style="8" customWidth="1"/>
    <col min="5878" max="5878" width="32.375" style="8" customWidth="1"/>
    <col min="5879" max="5879" width="14.875" style="8" customWidth="1"/>
    <col min="5880" max="5880" width="10.375" style="8" customWidth="1"/>
    <col min="5881" max="5881" width="13.25" style="8" customWidth="1"/>
    <col min="5882" max="5882" width="12.125" style="8" customWidth="1"/>
    <col min="5883" max="5883" width="13.25" style="8" customWidth="1"/>
    <col min="5884" max="5884" width="12" style="8" customWidth="1"/>
    <col min="5885" max="5885" width="13.25" style="8" customWidth="1"/>
    <col min="5886" max="5886" width="11.875" style="8" customWidth="1"/>
    <col min="5887" max="5887" width="13.75" style="8" customWidth="1"/>
    <col min="5888" max="5888" width="12.375" style="8" customWidth="1"/>
    <col min="5889" max="5889" width="13.25" style="8" customWidth="1"/>
    <col min="5890" max="5890" width="11" style="8" customWidth="1"/>
    <col min="5891" max="5891" width="7.375" style="8" customWidth="1"/>
    <col min="5892" max="5892" width="17.25" style="8" bestFit="1" customWidth="1"/>
    <col min="5893" max="5893" width="9.125" style="8" customWidth="1"/>
    <col min="5894" max="6132" width="8.75" style="8"/>
    <col min="6133" max="6133" width="7.75" style="8" customWidth="1"/>
    <col min="6134" max="6134" width="32.375" style="8" customWidth="1"/>
    <col min="6135" max="6135" width="14.875" style="8" customWidth="1"/>
    <col min="6136" max="6136" width="10.375" style="8" customWidth="1"/>
    <col min="6137" max="6137" width="13.25" style="8" customWidth="1"/>
    <col min="6138" max="6138" width="12.125" style="8" customWidth="1"/>
    <col min="6139" max="6139" width="13.25" style="8" customWidth="1"/>
    <col min="6140" max="6140" width="12" style="8" customWidth="1"/>
    <col min="6141" max="6141" width="13.25" style="8" customWidth="1"/>
    <col min="6142" max="6142" width="11.875" style="8" customWidth="1"/>
    <col min="6143" max="6143" width="13.75" style="8" customWidth="1"/>
    <col min="6144" max="6144" width="12.375" style="8" customWidth="1"/>
    <col min="6145" max="6145" width="13.25" style="8" customWidth="1"/>
    <col min="6146" max="6146" width="11" style="8" customWidth="1"/>
    <col min="6147" max="6147" width="7.375" style="8" customWidth="1"/>
    <col min="6148" max="6148" width="17.25" style="8" bestFit="1" customWidth="1"/>
    <col min="6149" max="6149" width="9.125" style="8" customWidth="1"/>
    <col min="6150" max="6388" width="8.75" style="8"/>
    <col min="6389" max="6389" width="7.75" style="8" customWidth="1"/>
    <col min="6390" max="6390" width="32.375" style="8" customWidth="1"/>
    <col min="6391" max="6391" width="14.875" style="8" customWidth="1"/>
    <col min="6392" max="6392" width="10.375" style="8" customWidth="1"/>
    <col min="6393" max="6393" width="13.25" style="8" customWidth="1"/>
    <col min="6394" max="6394" width="12.125" style="8" customWidth="1"/>
    <col min="6395" max="6395" width="13.25" style="8" customWidth="1"/>
    <col min="6396" max="6396" width="12" style="8" customWidth="1"/>
    <col min="6397" max="6397" width="13.25" style="8" customWidth="1"/>
    <col min="6398" max="6398" width="11.875" style="8" customWidth="1"/>
    <col min="6399" max="6399" width="13.75" style="8" customWidth="1"/>
    <col min="6400" max="6400" width="12.375" style="8" customWidth="1"/>
    <col min="6401" max="6401" width="13.25" style="8" customWidth="1"/>
    <col min="6402" max="6402" width="11" style="8" customWidth="1"/>
    <col min="6403" max="6403" width="7.375" style="8" customWidth="1"/>
    <col min="6404" max="6404" width="17.25" style="8" bestFit="1" customWidth="1"/>
    <col min="6405" max="6405" width="9.125" style="8" customWidth="1"/>
    <col min="6406" max="6644" width="8.75" style="8"/>
    <col min="6645" max="6645" width="7.75" style="8" customWidth="1"/>
    <col min="6646" max="6646" width="32.375" style="8" customWidth="1"/>
    <col min="6647" max="6647" width="14.875" style="8" customWidth="1"/>
    <col min="6648" max="6648" width="10.375" style="8" customWidth="1"/>
    <col min="6649" max="6649" width="13.25" style="8" customWidth="1"/>
    <col min="6650" max="6650" width="12.125" style="8" customWidth="1"/>
    <col min="6651" max="6651" width="13.25" style="8" customWidth="1"/>
    <col min="6652" max="6652" width="12" style="8" customWidth="1"/>
    <col min="6653" max="6653" width="13.25" style="8" customWidth="1"/>
    <col min="6654" max="6654" width="11.875" style="8" customWidth="1"/>
    <col min="6655" max="6655" width="13.75" style="8" customWidth="1"/>
    <col min="6656" max="6656" width="12.375" style="8" customWidth="1"/>
    <col min="6657" max="6657" width="13.25" style="8" customWidth="1"/>
    <col min="6658" max="6658" width="11" style="8" customWidth="1"/>
    <col min="6659" max="6659" width="7.375" style="8" customWidth="1"/>
    <col min="6660" max="6660" width="17.25" style="8" bestFit="1" customWidth="1"/>
    <col min="6661" max="6661" width="9.125" style="8" customWidth="1"/>
    <col min="6662" max="6900" width="8.75" style="8"/>
    <col min="6901" max="6901" width="7.75" style="8" customWidth="1"/>
    <col min="6902" max="6902" width="32.375" style="8" customWidth="1"/>
    <col min="6903" max="6903" width="14.875" style="8" customWidth="1"/>
    <col min="6904" max="6904" width="10.375" style="8" customWidth="1"/>
    <col min="6905" max="6905" width="13.25" style="8" customWidth="1"/>
    <col min="6906" max="6906" width="12.125" style="8" customWidth="1"/>
    <col min="6907" max="6907" width="13.25" style="8" customWidth="1"/>
    <col min="6908" max="6908" width="12" style="8" customWidth="1"/>
    <col min="6909" max="6909" width="13.25" style="8" customWidth="1"/>
    <col min="6910" max="6910" width="11.875" style="8" customWidth="1"/>
    <col min="6911" max="6911" width="13.75" style="8" customWidth="1"/>
    <col min="6912" max="6912" width="12.375" style="8" customWidth="1"/>
    <col min="6913" max="6913" width="13.25" style="8" customWidth="1"/>
    <col min="6914" max="6914" width="11" style="8" customWidth="1"/>
    <col min="6915" max="6915" width="7.375" style="8" customWidth="1"/>
    <col min="6916" max="6916" width="17.25" style="8" bestFit="1" customWidth="1"/>
    <col min="6917" max="6917" width="9.125" style="8" customWidth="1"/>
    <col min="6918" max="7156" width="8.75" style="8"/>
    <col min="7157" max="7157" width="7.75" style="8" customWidth="1"/>
    <col min="7158" max="7158" width="32.375" style="8" customWidth="1"/>
    <col min="7159" max="7159" width="14.875" style="8" customWidth="1"/>
    <col min="7160" max="7160" width="10.375" style="8" customWidth="1"/>
    <col min="7161" max="7161" width="13.25" style="8" customWidth="1"/>
    <col min="7162" max="7162" width="12.125" style="8" customWidth="1"/>
    <col min="7163" max="7163" width="13.25" style="8" customWidth="1"/>
    <col min="7164" max="7164" width="12" style="8" customWidth="1"/>
    <col min="7165" max="7165" width="13.25" style="8" customWidth="1"/>
    <col min="7166" max="7166" width="11.875" style="8" customWidth="1"/>
    <col min="7167" max="7167" width="13.75" style="8" customWidth="1"/>
    <col min="7168" max="7168" width="12.375" style="8" customWidth="1"/>
    <col min="7169" max="7169" width="13.25" style="8" customWidth="1"/>
    <col min="7170" max="7170" width="11" style="8" customWidth="1"/>
    <col min="7171" max="7171" width="7.375" style="8" customWidth="1"/>
    <col min="7172" max="7172" width="17.25" style="8" bestFit="1" customWidth="1"/>
    <col min="7173" max="7173" width="9.125" style="8" customWidth="1"/>
    <col min="7174" max="7412" width="8.75" style="8"/>
    <col min="7413" max="7413" width="7.75" style="8" customWidth="1"/>
    <col min="7414" max="7414" width="32.375" style="8" customWidth="1"/>
    <col min="7415" max="7415" width="14.875" style="8" customWidth="1"/>
    <col min="7416" max="7416" width="10.375" style="8" customWidth="1"/>
    <col min="7417" max="7417" width="13.25" style="8" customWidth="1"/>
    <col min="7418" max="7418" width="12.125" style="8" customWidth="1"/>
    <col min="7419" max="7419" width="13.25" style="8" customWidth="1"/>
    <col min="7420" max="7420" width="12" style="8" customWidth="1"/>
    <col min="7421" max="7421" width="13.25" style="8" customWidth="1"/>
    <col min="7422" max="7422" width="11.875" style="8" customWidth="1"/>
    <col min="7423" max="7423" width="13.75" style="8" customWidth="1"/>
    <col min="7424" max="7424" width="12.375" style="8" customWidth="1"/>
    <col min="7425" max="7425" width="13.25" style="8" customWidth="1"/>
    <col min="7426" max="7426" width="11" style="8" customWidth="1"/>
    <col min="7427" max="7427" width="7.375" style="8" customWidth="1"/>
    <col min="7428" max="7428" width="17.25" style="8" bestFit="1" customWidth="1"/>
    <col min="7429" max="7429" width="9.125" style="8" customWidth="1"/>
    <col min="7430" max="7668" width="8.75" style="8"/>
    <col min="7669" max="7669" width="7.75" style="8" customWidth="1"/>
    <col min="7670" max="7670" width="32.375" style="8" customWidth="1"/>
    <col min="7671" max="7671" width="14.875" style="8" customWidth="1"/>
    <col min="7672" max="7672" width="10.375" style="8" customWidth="1"/>
    <col min="7673" max="7673" width="13.25" style="8" customWidth="1"/>
    <col min="7674" max="7674" width="12.125" style="8" customWidth="1"/>
    <col min="7675" max="7675" width="13.25" style="8" customWidth="1"/>
    <col min="7676" max="7676" width="12" style="8" customWidth="1"/>
    <col min="7677" max="7677" width="13.25" style="8" customWidth="1"/>
    <col min="7678" max="7678" width="11.875" style="8" customWidth="1"/>
    <col min="7679" max="7679" width="13.75" style="8" customWidth="1"/>
    <col min="7680" max="7680" width="12.375" style="8" customWidth="1"/>
    <col min="7681" max="7681" width="13.25" style="8" customWidth="1"/>
    <col min="7682" max="7682" width="11" style="8" customWidth="1"/>
    <col min="7683" max="7683" width="7.375" style="8" customWidth="1"/>
    <col min="7684" max="7684" width="17.25" style="8" bestFit="1" customWidth="1"/>
    <col min="7685" max="7685" width="9.125" style="8" customWidth="1"/>
    <col min="7686" max="7924" width="8.75" style="8"/>
    <col min="7925" max="7925" width="7.75" style="8" customWidth="1"/>
    <col min="7926" max="7926" width="32.375" style="8" customWidth="1"/>
    <col min="7927" max="7927" width="14.875" style="8" customWidth="1"/>
    <col min="7928" max="7928" width="10.375" style="8" customWidth="1"/>
    <col min="7929" max="7929" width="13.25" style="8" customWidth="1"/>
    <col min="7930" max="7930" width="12.125" style="8" customWidth="1"/>
    <col min="7931" max="7931" width="13.25" style="8" customWidth="1"/>
    <col min="7932" max="7932" width="12" style="8" customWidth="1"/>
    <col min="7933" max="7933" width="13.25" style="8" customWidth="1"/>
    <col min="7934" max="7934" width="11.875" style="8" customWidth="1"/>
    <col min="7935" max="7935" width="13.75" style="8" customWidth="1"/>
    <col min="7936" max="7936" width="12.375" style="8" customWidth="1"/>
    <col min="7937" max="7937" width="13.25" style="8" customWidth="1"/>
    <col min="7938" max="7938" width="11" style="8" customWidth="1"/>
    <col min="7939" max="7939" width="7.375" style="8" customWidth="1"/>
    <col min="7940" max="7940" width="17.25" style="8" bestFit="1" customWidth="1"/>
    <col min="7941" max="7941" width="9.125" style="8" customWidth="1"/>
    <col min="7942" max="8180" width="8.75" style="8"/>
    <col min="8181" max="8181" width="7.75" style="8" customWidth="1"/>
    <col min="8182" max="8182" width="32.375" style="8" customWidth="1"/>
    <col min="8183" max="8183" width="14.875" style="8" customWidth="1"/>
    <col min="8184" max="8184" width="10.375" style="8" customWidth="1"/>
    <col min="8185" max="8185" width="13.25" style="8" customWidth="1"/>
    <col min="8186" max="8186" width="12.125" style="8" customWidth="1"/>
    <col min="8187" max="8187" width="13.25" style="8" customWidth="1"/>
    <col min="8188" max="8188" width="12" style="8" customWidth="1"/>
    <col min="8189" max="8189" width="13.25" style="8" customWidth="1"/>
    <col min="8190" max="8190" width="11.875" style="8" customWidth="1"/>
    <col min="8191" max="8191" width="13.75" style="8" customWidth="1"/>
    <col min="8192" max="8192" width="12.375" style="8" customWidth="1"/>
    <col min="8193" max="8193" width="13.25" style="8" customWidth="1"/>
    <col min="8194" max="8194" width="11" style="8" customWidth="1"/>
    <col min="8195" max="8195" width="7.375" style="8" customWidth="1"/>
    <col min="8196" max="8196" width="17.25" style="8" bestFit="1" customWidth="1"/>
    <col min="8197" max="8197" width="9.125" style="8" customWidth="1"/>
    <col min="8198" max="8436" width="8.75" style="8"/>
    <col min="8437" max="8437" width="7.75" style="8" customWidth="1"/>
    <col min="8438" max="8438" width="32.375" style="8" customWidth="1"/>
    <col min="8439" max="8439" width="14.875" style="8" customWidth="1"/>
    <col min="8440" max="8440" width="10.375" style="8" customWidth="1"/>
    <col min="8441" max="8441" width="13.25" style="8" customWidth="1"/>
    <col min="8442" max="8442" width="12.125" style="8" customWidth="1"/>
    <col min="8443" max="8443" width="13.25" style="8" customWidth="1"/>
    <col min="8444" max="8444" width="12" style="8" customWidth="1"/>
    <col min="8445" max="8445" width="13.25" style="8" customWidth="1"/>
    <col min="8446" max="8446" width="11.875" style="8" customWidth="1"/>
    <col min="8447" max="8447" width="13.75" style="8" customWidth="1"/>
    <col min="8448" max="8448" width="12.375" style="8" customWidth="1"/>
    <col min="8449" max="8449" width="13.25" style="8" customWidth="1"/>
    <col min="8450" max="8450" width="11" style="8" customWidth="1"/>
    <col min="8451" max="8451" width="7.375" style="8" customWidth="1"/>
    <col min="8452" max="8452" width="17.25" style="8" bestFit="1" customWidth="1"/>
    <col min="8453" max="8453" width="9.125" style="8" customWidth="1"/>
    <col min="8454" max="8692" width="8.75" style="8"/>
    <col min="8693" max="8693" width="7.75" style="8" customWidth="1"/>
    <col min="8694" max="8694" width="32.375" style="8" customWidth="1"/>
    <col min="8695" max="8695" width="14.875" style="8" customWidth="1"/>
    <col min="8696" max="8696" width="10.375" style="8" customWidth="1"/>
    <col min="8697" max="8697" width="13.25" style="8" customWidth="1"/>
    <col min="8698" max="8698" width="12.125" style="8" customWidth="1"/>
    <col min="8699" max="8699" width="13.25" style="8" customWidth="1"/>
    <col min="8700" max="8700" width="12" style="8" customWidth="1"/>
    <col min="8701" max="8701" width="13.25" style="8" customWidth="1"/>
    <col min="8702" max="8702" width="11.875" style="8" customWidth="1"/>
    <col min="8703" max="8703" width="13.75" style="8" customWidth="1"/>
    <col min="8704" max="8704" width="12.375" style="8" customWidth="1"/>
    <col min="8705" max="8705" width="13.25" style="8" customWidth="1"/>
    <col min="8706" max="8706" width="11" style="8" customWidth="1"/>
    <col min="8707" max="8707" width="7.375" style="8" customWidth="1"/>
    <col min="8708" max="8708" width="17.25" style="8" bestFit="1" customWidth="1"/>
    <col min="8709" max="8709" width="9.125" style="8" customWidth="1"/>
    <col min="8710" max="8948" width="8.75" style="8"/>
    <col min="8949" max="8949" width="7.75" style="8" customWidth="1"/>
    <col min="8950" max="8950" width="32.375" style="8" customWidth="1"/>
    <col min="8951" max="8951" width="14.875" style="8" customWidth="1"/>
    <col min="8952" max="8952" width="10.375" style="8" customWidth="1"/>
    <col min="8953" max="8953" width="13.25" style="8" customWidth="1"/>
    <col min="8954" max="8954" width="12.125" style="8" customWidth="1"/>
    <col min="8955" max="8955" width="13.25" style="8" customWidth="1"/>
    <col min="8956" max="8956" width="12" style="8" customWidth="1"/>
    <col min="8957" max="8957" width="13.25" style="8" customWidth="1"/>
    <col min="8958" max="8958" width="11.875" style="8" customWidth="1"/>
    <col min="8959" max="8959" width="13.75" style="8" customWidth="1"/>
    <col min="8960" max="8960" width="12.375" style="8" customWidth="1"/>
    <col min="8961" max="8961" width="13.25" style="8" customWidth="1"/>
    <col min="8962" max="8962" width="11" style="8" customWidth="1"/>
    <col min="8963" max="8963" width="7.375" style="8" customWidth="1"/>
    <col min="8964" max="8964" width="17.25" style="8" bestFit="1" customWidth="1"/>
    <col min="8965" max="8965" width="9.125" style="8" customWidth="1"/>
    <col min="8966" max="9204" width="8.75" style="8"/>
    <col min="9205" max="9205" width="7.75" style="8" customWidth="1"/>
    <col min="9206" max="9206" width="32.375" style="8" customWidth="1"/>
    <col min="9207" max="9207" width="14.875" style="8" customWidth="1"/>
    <col min="9208" max="9208" width="10.375" style="8" customWidth="1"/>
    <col min="9209" max="9209" width="13.25" style="8" customWidth="1"/>
    <col min="9210" max="9210" width="12.125" style="8" customWidth="1"/>
    <col min="9211" max="9211" width="13.25" style="8" customWidth="1"/>
    <col min="9212" max="9212" width="12" style="8" customWidth="1"/>
    <col min="9213" max="9213" width="13.25" style="8" customWidth="1"/>
    <col min="9214" max="9214" width="11.875" style="8" customWidth="1"/>
    <col min="9215" max="9215" width="13.75" style="8" customWidth="1"/>
    <col min="9216" max="9216" width="12.375" style="8" customWidth="1"/>
    <col min="9217" max="9217" width="13.25" style="8" customWidth="1"/>
    <col min="9218" max="9218" width="11" style="8" customWidth="1"/>
    <col min="9219" max="9219" width="7.375" style="8" customWidth="1"/>
    <col min="9220" max="9220" width="17.25" style="8" bestFit="1" customWidth="1"/>
    <col min="9221" max="9221" width="9.125" style="8" customWidth="1"/>
    <col min="9222" max="9460" width="8.75" style="8"/>
    <col min="9461" max="9461" width="7.75" style="8" customWidth="1"/>
    <col min="9462" max="9462" width="32.375" style="8" customWidth="1"/>
    <col min="9463" max="9463" width="14.875" style="8" customWidth="1"/>
    <col min="9464" max="9464" width="10.375" style="8" customWidth="1"/>
    <col min="9465" max="9465" width="13.25" style="8" customWidth="1"/>
    <col min="9466" max="9466" width="12.125" style="8" customWidth="1"/>
    <col min="9467" max="9467" width="13.25" style="8" customWidth="1"/>
    <col min="9468" max="9468" width="12" style="8" customWidth="1"/>
    <col min="9469" max="9469" width="13.25" style="8" customWidth="1"/>
    <col min="9470" max="9470" width="11.875" style="8" customWidth="1"/>
    <col min="9471" max="9471" width="13.75" style="8" customWidth="1"/>
    <col min="9472" max="9472" width="12.375" style="8" customWidth="1"/>
    <col min="9473" max="9473" width="13.25" style="8" customWidth="1"/>
    <col min="9474" max="9474" width="11" style="8" customWidth="1"/>
    <col min="9475" max="9475" width="7.375" style="8" customWidth="1"/>
    <col min="9476" max="9476" width="17.25" style="8" bestFit="1" customWidth="1"/>
    <col min="9477" max="9477" width="9.125" style="8" customWidth="1"/>
    <col min="9478" max="9716" width="8.75" style="8"/>
    <col min="9717" max="9717" width="7.75" style="8" customWidth="1"/>
    <col min="9718" max="9718" width="32.375" style="8" customWidth="1"/>
    <col min="9719" max="9719" width="14.875" style="8" customWidth="1"/>
    <col min="9720" max="9720" width="10.375" style="8" customWidth="1"/>
    <col min="9721" max="9721" width="13.25" style="8" customWidth="1"/>
    <col min="9722" max="9722" width="12.125" style="8" customWidth="1"/>
    <col min="9723" max="9723" width="13.25" style="8" customWidth="1"/>
    <col min="9724" max="9724" width="12" style="8" customWidth="1"/>
    <col min="9725" max="9725" width="13.25" style="8" customWidth="1"/>
    <col min="9726" max="9726" width="11.875" style="8" customWidth="1"/>
    <col min="9727" max="9727" width="13.75" style="8" customWidth="1"/>
    <col min="9728" max="9728" width="12.375" style="8" customWidth="1"/>
    <col min="9729" max="9729" width="13.25" style="8" customWidth="1"/>
    <col min="9730" max="9730" width="11" style="8" customWidth="1"/>
    <col min="9731" max="9731" width="7.375" style="8" customWidth="1"/>
    <col min="9732" max="9732" width="17.25" style="8" bestFit="1" customWidth="1"/>
    <col min="9733" max="9733" width="9.125" style="8" customWidth="1"/>
    <col min="9734" max="9972" width="8.75" style="8"/>
    <col min="9973" max="9973" width="7.75" style="8" customWidth="1"/>
    <col min="9974" max="9974" width="32.375" style="8" customWidth="1"/>
    <col min="9975" max="9975" width="14.875" style="8" customWidth="1"/>
    <col min="9976" max="9976" width="10.375" style="8" customWidth="1"/>
    <col min="9977" max="9977" width="13.25" style="8" customWidth="1"/>
    <col min="9978" max="9978" width="12.125" style="8" customWidth="1"/>
    <col min="9979" max="9979" width="13.25" style="8" customWidth="1"/>
    <col min="9980" max="9980" width="12" style="8" customWidth="1"/>
    <col min="9981" max="9981" width="13.25" style="8" customWidth="1"/>
    <col min="9982" max="9982" width="11.875" style="8" customWidth="1"/>
    <col min="9983" max="9983" width="13.75" style="8" customWidth="1"/>
    <col min="9984" max="9984" width="12.375" style="8" customWidth="1"/>
    <col min="9985" max="9985" width="13.25" style="8" customWidth="1"/>
    <col min="9986" max="9986" width="11" style="8" customWidth="1"/>
    <col min="9987" max="9987" width="7.375" style="8" customWidth="1"/>
    <col min="9988" max="9988" width="17.25" style="8" bestFit="1" customWidth="1"/>
    <col min="9989" max="9989" width="9.125" style="8" customWidth="1"/>
    <col min="9990" max="10228" width="8.75" style="8"/>
    <col min="10229" max="10229" width="7.75" style="8" customWidth="1"/>
    <col min="10230" max="10230" width="32.375" style="8" customWidth="1"/>
    <col min="10231" max="10231" width="14.875" style="8" customWidth="1"/>
    <col min="10232" max="10232" width="10.375" style="8" customWidth="1"/>
    <col min="10233" max="10233" width="13.25" style="8" customWidth="1"/>
    <col min="10234" max="10234" width="12.125" style="8" customWidth="1"/>
    <col min="10235" max="10235" width="13.25" style="8" customWidth="1"/>
    <col min="10236" max="10236" width="12" style="8" customWidth="1"/>
    <col min="10237" max="10237" width="13.25" style="8" customWidth="1"/>
    <col min="10238" max="10238" width="11.875" style="8" customWidth="1"/>
    <col min="10239" max="10239" width="13.75" style="8" customWidth="1"/>
    <col min="10240" max="10240" width="12.375" style="8" customWidth="1"/>
    <col min="10241" max="10241" width="13.25" style="8" customWidth="1"/>
    <col min="10242" max="10242" width="11" style="8" customWidth="1"/>
    <col min="10243" max="10243" width="7.375" style="8" customWidth="1"/>
    <col min="10244" max="10244" width="17.25" style="8" bestFit="1" customWidth="1"/>
    <col min="10245" max="10245" width="9.125" style="8" customWidth="1"/>
    <col min="10246" max="10484" width="8.75" style="8"/>
    <col min="10485" max="10485" width="7.75" style="8" customWidth="1"/>
    <col min="10486" max="10486" width="32.375" style="8" customWidth="1"/>
    <col min="10487" max="10487" width="14.875" style="8" customWidth="1"/>
    <col min="10488" max="10488" width="10.375" style="8" customWidth="1"/>
    <col min="10489" max="10489" width="13.25" style="8" customWidth="1"/>
    <col min="10490" max="10490" width="12.125" style="8" customWidth="1"/>
    <col min="10491" max="10491" width="13.25" style="8" customWidth="1"/>
    <col min="10492" max="10492" width="12" style="8" customWidth="1"/>
    <col min="10493" max="10493" width="13.25" style="8" customWidth="1"/>
    <col min="10494" max="10494" width="11.875" style="8" customWidth="1"/>
    <col min="10495" max="10495" width="13.75" style="8" customWidth="1"/>
    <col min="10496" max="10496" width="12.375" style="8" customWidth="1"/>
    <col min="10497" max="10497" width="13.25" style="8" customWidth="1"/>
    <col min="10498" max="10498" width="11" style="8" customWidth="1"/>
    <col min="10499" max="10499" width="7.375" style="8" customWidth="1"/>
    <col min="10500" max="10500" width="17.25" style="8" bestFit="1" customWidth="1"/>
    <col min="10501" max="10501" width="9.125" style="8" customWidth="1"/>
    <col min="10502" max="10740" width="8.75" style="8"/>
    <col min="10741" max="10741" width="7.75" style="8" customWidth="1"/>
    <col min="10742" max="10742" width="32.375" style="8" customWidth="1"/>
    <col min="10743" max="10743" width="14.875" style="8" customWidth="1"/>
    <col min="10744" max="10744" width="10.375" style="8" customWidth="1"/>
    <col min="10745" max="10745" width="13.25" style="8" customWidth="1"/>
    <col min="10746" max="10746" width="12.125" style="8" customWidth="1"/>
    <col min="10747" max="10747" width="13.25" style="8" customWidth="1"/>
    <col min="10748" max="10748" width="12" style="8" customWidth="1"/>
    <col min="10749" max="10749" width="13.25" style="8" customWidth="1"/>
    <col min="10750" max="10750" width="11.875" style="8" customWidth="1"/>
    <col min="10751" max="10751" width="13.75" style="8" customWidth="1"/>
    <col min="10752" max="10752" width="12.375" style="8" customWidth="1"/>
    <col min="10753" max="10753" width="13.25" style="8" customWidth="1"/>
    <col min="10754" max="10754" width="11" style="8" customWidth="1"/>
    <col min="10755" max="10755" width="7.375" style="8" customWidth="1"/>
    <col min="10756" max="10756" width="17.25" style="8" bestFit="1" customWidth="1"/>
    <col min="10757" max="10757" width="9.125" style="8" customWidth="1"/>
    <col min="10758" max="10996" width="8.75" style="8"/>
    <col min="10997" max="10997" width="7.75" style="8" customWidth="1"/>
    <col min="10998" max="10998" width="32.375" style="8" customWidth="1"/>
    <col min="10999" max="10999" width="14.875" style="8" customWidth="1"/>
    <col min="11000" max="11000" width="10.375" style="8" customWidth="1"/>
    <col min="11001" max="11001" width="13.25" style="8" customWidth="1"/>
    <col min="11002" max="11002" width="12.125" style="8" customWidth="1"/>
    <col min="11003" max="11003" width="13.25" style="8" customWidth="1"/>
    <col min="11004" max="11004" width="12" style="8" customWidth="1"/>
    <col min="11005" max="11005" width="13.25" style="8" customWidth="1"/>
    <col min="11006" max="11006" width="11.875" style="8" customWidth="1"/>
    <col min="11007" max="11007" width="13.75" style="8" customWidth="1"/>
    <col min="11008" max="11008" width="12.375" style="8" customWidth="1"/>
    <col min="11009" max="11009" width="13.25" style="8" customWidth="1"/>
    <col min="11010" max="11010" width="11" style="8" customWidth="1"/>
    <col min="11011" max="11011" width="7.375" style="8" customWidth="1"/>
    <col min="11012" max="11012" width="17.25" style="8" bestFit="1" customWidth="1"/>
    <col min="11013" max="11013" width="9.125" style="8" customWidth="1"/>
    <col min="11014" max="11252" width="8.75" style="8"/>
    <col min="11253" max="11253" width="7.75" style="8" customWidth="1"/>
    <col min="11254" max="11254" width="32.375" style="8" customWidth="1"/>
    <col min="11255" max="11255" width="14.875" style="8" customWidth="1"/>
    <col min="11256" max="11256" width="10.375" style="8" customWidth="1"/>
    <col min="11257" max="11257" width="13.25" style="8" customWidth="1"/>
    <col min="11258" max="11258" width="12.125" style="8" customWidth="1"/>
    <col min="11259" max="11259" width="13.25" style="8" customWidth="1"/>
    <col min="11260" max="11260" width="12" style="8" customWidth="1"/>
    <col min="11261" max="11261" width="13.25" style="8" customWidth="1"/>
    <col min="11262" max="11262" width="11.875" style="8" customWidth="1"/>
    <col min="11263" max="11263" width="13.75" style="8" customWidth="1"/>
    <col min="11264" max="11264" width="12.375" style="8" customWidth="1"/>
    <col min="11265" max="11265" width="13.25" style="8" customWidth="1"/>
    <col min="11266" max="11266" width="11" style="8" customWidth="1"/>
    <col min="11267" max="11267" width="7.375" style="8" customWidth="1"/>
    <col min="11268" max="11268" width="17.25" style="8" bestFit="1" customWidth="1"/>
    <col min="11269" max="11269" width="9.125" style="8" customWidth="1"/>
    <col min="11270" max="11508" width="8.75" style="8"/>
    <col min="11509" max="11509" width="7.75" style="8" customWidth="1"/>
    <col min="11510" max="11510" width="32.375" style="8" customWidth="1"/>
    <col min="11511" max="11511" width="14.875" style="8" customWidth="1"/>
    <col min="11512" max="11512" width="10.375" style="8" customWidth="1"/>
    <col min="11513" max="11513" width="13.25" style="8" customWidth="1"/>
    <col min="11514" max="11514" width="12.125" style="8" customWidth="1"/>
    <col min="11515" max="11515" width="13.25" style="8" customWidth="1"/>
    <col min="11516" max="11516" width="12" style="8" customWidth="1"/>
    <col min="11517" max="11517" width="13.25" style="8" customWidth="1"/>
    <col min="11518" max="11518" width="11.875" style="8" customWidth="1"/>
    <col min="11519" max="11519" width="13.75" style="8" customWidth="1"/>
    <col min="11520" max="11520" width="12.375" style="8" customWidth="1"/>
    <col min="11521" max="11521" width="13.25" style="8" customWidth="1"/>
    <col min="11522" max="11522" width="11" style="8" customWidth="1"/>
    <col min="11523" max="11523" width="7.375" style="8" customWidth="1"/>
    <col min="11524" max="11524" width="17.25" style="8" bestFit="1" customWidth="1"/>
    <col min="11525" max="11525" width="9.125" style="8" customWidth="1"/>
    <col min="11526" max="11764" width="8.75" style="8"/>
    <col min="11765" max="11765" width="7.75" style="8" customWidth="1"/>
    <col min="11766" max="11766" width="32.375" style="8" customWidth="1"/>
    <col min="11767" max="11767" width="14.875" style="8" customWidth="1"/>
    <col min="11768" max="11768" width="10.375" style="8" customWidth="1"/>
    <col min="11769" max="11769" width="13.25" style="8" customWidth="1"/>
    <col min="11770" max="11770" width="12.125" style="8" customWidth="1"/>
    <col min="11771" max="11771" width="13.25" style="8" customWidth="1"/>
    <col min="11772" max="11772" width="12" style="8" customWidth="1"/>
    <col min="11773" max="11773" width="13.25" style="8" customWidth="1"/>
    <col min="11774" max="11774" width="11.875" style="8" customWidth="1"/>
    <col min="11775" max="11775" width="13.75" style="8" customWidth="1"/>
    <col min="11776" max="11776" width="12.375" style="8" customWidth="1"/>
    <col min="11777" max="11777" width="13.25" style="8" customWidth="1"/>
    <col min="11778" max="11778" width="11" style="8" customWidth="1"/>
    <col min="11779" max="11779" width="7.375" style="8" customWidth="1"/>
    <col min="11780" max="11780" width="17.25" style="8" bestFit="1" customWidth="1"/>
    <col min="11781" max="11781" width="9.125" style="8" customWidth="1"/>
    <col min="11782" max="12020" width="8.75" style="8"/>
    <col min="12021" max="12021" width="7.75" style="8" customWidth="1"/>
    <col min="12022" max="12022" width="32.375" style="8" customWidth="1"/>
    <col min="12023" max="12023" width="14.875" style="8" customWidth="1"/>
    <col min="12024" max="12024" width="10.375" style="8" customWidth="1"/>
    <col min="12025" max="12025" width="13.25" style="8" customWidth="1"/>
    <col min="12026" max="12026" width="12.125" style="8" customWidth="1"/>
    <col min="12027" max="12027" width="13.25" style="8" customWidth="1"/>
    <col min="12028" max="12028" width="12" style="8" customWidth="1"/>
    <col min="12029" max="12029" width="13.25" style="8" customWidth="1"/>
    <col min="12030" max="12030" width="11.875" style="8" customWidth="1"/>
    <col min="12031" max="12031" width="13.75" style="8" customWidth="1"/>
    <col min="12032" max="12032" width="12.375" style="8" customWidth="1"/>
    <col min="12033" max="12033" width="13.25" style="8" customWidth="1"/>
    <col min="12034" max="12034" width="11" style="8" customWidth="1"/>
    <col min="12035" max="12035" width="7.375" style="8" customWidth="1"/>
    <col min="12036" max="12036" width="17.25" style="8" bestFit="1" customWidth="1"/>
    <col min="12037" max="12037" width="9.125" style="8" customWidth="1"/>
    <col min="12038" max="12276" width="8.75" style="8"/>
    <col min="12277" max="12277" width="7.75" style="8" customWidth="1"/>
    <col min="12278" max="12278" width="32.375" style="8" customWidth="1"/>
    <col min="12279" max="12279" width="14.875" style="8" customWidth="1"/>
    <col min="12280" max="12280" width="10.375" style="8" customWidth="1"/>
    <col min="12281" max="12281" width="13.25" style="8" customWidth="1"/>
    <col min="12282" max="12282" width="12.125" style="8" customWidth="1"/>
    <col min="12283" max="12283" width="13.25" style="8" customWidth="1"/>
    <col min="12284" max="12284" width="12" style="8" customWidth="1"/>
    <col min="12285" max="12285" width="13.25" style="8" customWidth="1"/>
    <col min="12286" max="12286" width="11.875" style="8" customWidth="1"/>
    <col min="12287" max="12287" width="13.75" style="8" customWidth="1"/>
    <col min="12288" max="12288" width="12.375" style="8" customWidth="1"/>
    <col min="12289" max="12289" width="13.25" style="8" customWidth="1"/>
    <col min="12290" max="12290" width="11" style="8" customWidth="1"/>
    <col min="12291" max="12291" width="7.375" style="8" customWidth="1"/>
    <col min="12292" max="12292" width="17.25" style="8" bestFit="1" customWidth="1"/>
    <col min="12293" max="12293" width="9.125" style="8" customWidth="1"/>
    <col min="12294" max="12532" width="8.75" style="8"/>
    <col min="12533" max="12533" width="7.75" style="8" customWidth="1"/>
    <col min="12534" max="12534" width="32.375" style="8" customWidth="1"/>
    <col min="12535" max="12535" width="14.875" style="8" customWidth="1"/>
    <col min="12536" max="12536" width="10.375" style="8" customWidth="1"/>
    <col min="12537" max="12537" width="13.25" style="8" customWidth="1"/>
    <col min="12538" max="12538" width="12.125" style="8" customWidth="1"/>
    <col min="12539" max="12539" width="13.25" style="8" customWidth="1"/>
    <col min="12540" max="12540" width="12" style="8" customWidth="1"/>
    <col min="12541" max="12541" width="13.25" style="8" customWidth="1"/>
    <col min="12542" max="12542" width="11.875" style="8" customWidth="1"/>
    <col min="12543" max="12543" width="13.75" style="8" customWidth="1"/>
    <col min="12544" max="12544" width="12.375" style="8" customWidth="1"/>
    <col min="12545" max="12545" width="13.25" style="8" customWidth="1"/>
    <col min="12546" max="12546" width="11" style="8" customWidth="1"/>
    <col min="12547" max="12547" width="7.375" style="8" customWidth="1"/>
    <col min="12548" max="12548" width="17.25" style="8" bestFit="1" customWidth="1"/>
    <col min="12549" max="12549" width="9.125" style="8" customWidth="1"/>
    <col min="12550" max="12788" width="8.75" style="8"/>
    <col min="12789" max="12789" width="7.75" style="8" customWidth="1"/>
    <col min="12790" max="12790" width="32.375" style="8" customWidth="1"/>
    <col min="12791" max="12791" width="14.875" style="8" customWidth="1"/>
    <col min="12792" max="12792" width="10.375" style="8" customWidth="1"/>
    <col min="12793" max="12793" width="13.25" style="8" customWidth="1"/>
    <col min="12794" max="12794" width="12.125" style="8" customWidth="1"/>
    <col min="12795" max="12795" width="13.25" style="8" customWidth="1"/>
    <col min="12796" max="12796" width="12" style="8" customWidth="1"/>
    <col min="12797" max="12797" width="13.25" style="8" customWidth="1"/>
    <col min="12798" max="12798" width="11.875" style="8" customWidth="1"/>
    <col min="12799" max="12799" width="13.75" style="8" customWidth="1"/>
    <col min="12800" max="12800" width="12.375" style="8" customWidth="1"/>
    <col min="12801" max="12801" width="13.25" style="8" customWidth="1"/>
    <col min="12802" max="12802" width="11" style="8" customWidth="1"/>
    <col min="12803" max="12803" width="7.375" style="8" customWidth="1"/>
    <col min="12804" max="12804" width="17.25" style="8" bestFit="1" customWidth="1"/>
    <col min="12805" max="12805" width="9.125" style="8" customWidth="1"/>
    <col min="12806" max="13044" width="8.75" style="8"/>
    <col min="13045" max="13045" width="7.75" style="8" customWidth="1"/>
    <col min="13046" max="13046" width="32.375" style="8" customWidth="1"/>
    <col min="13047" max="13047" width="14.875" style="8" customWidth="1"/>
    <col min="13048" max="13048" width="10.375" style="8" customWidth="1"/>
    <col min="13049" max="13049" width="13.25" style="8" customWidth="1"/>
    <col min="13050" max="13050" width="12.125" style="8" customWidth="1"/>
    <col min="13051" max="13051" width="13.25" style="8" customWidth="1"/>
    <col min="13052" max="13052" width="12" style="8" customWidth="1"/>
    <col min="13053" max="13053" width="13.25" style="8" customWidth="1"/>
    <col min="13054" max="13054" width="11.875" style="8" customWidth="1"/>
    <col min="13055" max="13055" width="13.75" style="8" customWidth="1"/>
    <col min="13056" max="13056" width="12.375" style="8" customWidth="1"/>
    <col min="13057" max="13057" width="13.25" style="8" customWidth="1"/>
    <col min="13058" max="13058" width="11" style="8" customWidth="1"/>
    <col min="13059" max="13059" width="7.375" style="8" customWidth="1"/>
    <col min="13060" max="13060" width="17.25" style="8" bestFit="1" customWidth="1"/>
    <col min="13061" max="13061" width="9.125" style="8" customWidth="1"/>
    <col min="13062" max="13300" width="8.75" style="8"/>
    <col min="13301" max="13301" width="7.75" style="8" customWidth="1"/>
    <col min="13302" max="13302" width="32.375" style="8" customWidth="1"/>
    <col min="13303" max="13303" width="14.875" style="8" customWidth="1"/>
    <col min="13304" max="13304" width="10.375" style="8" customWidth="1"/>
    <col min="13305" max="13305" width="13.25" style="8" customWidth="1"/>
    <col min="13306" max="13306" width="12.125" style="8" customWidth="1"/>
    <col min="13307" max="13307" width="13.25" style="8" customWidth="1"/>
    <col min="13308" max="13308" width="12" style="8" customWidth="1"/>
    <col min="13309" max="13309" width="13.25" style="8" customWidth="1"/>
    <col min="13310" max="13310" width="11.875" style="8" customWidth="1"/>
    <col min="13311" max="13311" width="13.75" style="8" customWidth="1"/>
    <col min="13312" max="13312" width="12.375" style="8" customWidth="1"/>
    <col min="13313" max="13313" width="13.25" style="8" customWidth="1"/>
    <col min="13314" max="13314" width="11" style="8" customWidth="1"/>
    <col min="13315" max="13315" width="7.375" style="8" customWidth="1"/>
    <col min="13316" max="13316" width="17.25" style="8" bestFit="1" customWidth="1"/>
    <col min="13317" max="13317" width="9.125" style="8" customWidth="1"/>
    <col min="13318" max="13556" width="8.75" style="8"/>
    <col min="13557" max="13557" width="7.75" style="8" customWidth="1"/>
    <col min="13558" max="13558" width="32.375" style="8" customWidth="1"/>
    <col min="13559" max="13559" width="14.875" style="8" customWidth="1"/>
    <col min="13560" max="13560" width="10.375" style="8" customWidth="1"/>
    <col min="13561" max="13561" width="13.25" style="8" customWidth="1"/>
    <col min="13562" max="13562" width="12.125" style="8" customWidth="1"/>
    <col min="13563" max="13563" width="13.25" style="8" customWidth="1"/>
    <col min="13564" max="13564" width="12" style="8" customWidth="1"/>
    <col min="13565" max="13565" width="13.25" style="8" customWidth="1"/>
    <col min="13566" max="13566" width="11.875" style="8" customWidth="1"/>
    <col min="13567" max="13567" width="13.75" style="8" customWidth="1"/>
    <col min="13568" max="13568" width="12.375" style="8" customWidth="1"/>
    <col min="13569" max="13569" width="13.25" style="8" customWidth="1"/>
    <col min="13570" max="13570" width="11" style="8" customWidth="1"/>
    <col min="13571" max="13571" width="7.375" style="8" customWidth="1"/>
    <col min="13572" max="13572" width="17.25" style="8" bestFit="1" customWidth="1"/>
    <col min="13573" max="13573" width="9.125" style="8" customWidth="1"/>
    <col min="13574" max="13812" width="8.75" style="8"/>
    <col min="13813" max="13813" width="7.75" style="8" customWidth="1"/>
    <col min="13814" max="13814" width="32.375" style="8" customWidth="1"/>
    <col min="13815" max="13815" width="14.875" style="8" customWidth="1"/>
    <col min="13816" max="13816" width="10.375" style="8" customWidth="1"/>
    <col min="13817" max="13817" width="13.25" style="8" customWidth="1"/>
    <col min="13818" max="13818" width="12.125" style="8" customWidth="1"/>
    <col min="13819" max="13819" width="13.25" style="8" customWidth="1"/>
    <col min="13820" max="13820" width="12" style="8" customWidth="1"/>
    <col min="13821" max="13821" width="13.25" style="8" customWidth="1"/>
    <col min="13822" max="13822" width="11.875" style="8" customWidth="1"/>
    <col min="13823" max="13823" width="13.75" style="8" customWidth="1"/>
    <col min="13824" max="13824" width="12.375" style="8" customWidth="1"/>
    <col min="13825" max="13825" width="13.25" style="8" customWidth="1"/>
    <col min="13826" max="13826" width="11" style="8" customWidth="1"/>
    <col min="13827" max="13827" width="7.375" style="8" customWidth="1"/>
    <col min="13828" max="13828" width="17.25" style="8" bestFit="1" customWidth="1"/>
    <col min="13829" max="13829" width="9.125" style="8" customWidth="1"/>
    <col min="13830" max="14068" width="8.75" style="8"/>
    <col min="14069" max="14069" width="7.75" style="8" customWidth="1"/>
    <col min="14070" max="14070" width="32.375" style="8" customWidth="1"/>
    <col min="14071" max="14071" width="14.875" style="8" customWidth="1"/>
    <col min="14072" max="14072" width="10.375" style="8" customWidth="1"/>
    <col min="14073" max="14073" width="13.25" style="8" customWidth="1"/>
    <col min="14074" max="14074" width="12.125" style="8" customWidth="1"/>
    <col min="14075" max="14075" width="13.25" style="8" customWidth="1"/>
    <col min="14076" max="14076" width="12" style="8" customWidth="1"/>
    <col min="14077" max="14077" width="13.25" style="8" customWidth="1"/>
    <col min="14078" max="14078" width="11.875" style="8" customWidth="1"/>
    <col min="14079" max="14079" width="13.75" style="8" customWidth="1"/>
    <col min="14080" max="14080" width="12.375" style="8" customWidth="1"/>
    <col min="14081" max="14081" width="13.25" style="8" customWidth="1"/>
    <col min="14082" max="14082" width="11" style="8" customWidth="1"/>
    <col min="14083" max="14083" width="7.375" style="8" customWidth="1"/>
    <col min="14084" max="14084" width="17.25" style="8" bestFit="1" customWidth="1"/>
    <col min="14085" max="14085" width="9.125" style="8" customWidth="1"/>
    <col min="14086" max="14324" width="8.75" style="8"/>
    <col min="14325" max="14325" width="7.75" style="8" customWidth="1"/>
    <col min="14326" max="14326" width="32.375" style="8" customWidth="1"/>
    <col min="14327" max="14327" width="14.875" style="8" customWidth="1"/>
    <col min="14328" max="14328" width="10.375" style="8" customWidth="1"/>
    <col min="14329" max="14329" width="13.25" style="8" customWidth="1"/>
    <col min="14330" max="14330" width="12.125" style="8" customWidth="1"/>
    <col min="14331" max="14331" width="13.25" style="8" customWidth="1"/>
    <col min="14332" max="14332" width="12" style="8" customWidth="1"/>
    <col min="14333" max="14333" width="13.25" style="8" customWidth="1"/>
    <col min="14334" max="14334" width="11.875" style="8" customWidth="1"/>
    <col min="14335" max="14335" width="13.75" style="8" customWidth="1"/>
    <col min="14336" max="14336" width="12.375" style="8" customWidth="1"/>
    <col min="14337" max="14337" width="13.25" style="8" customWidth="1"/>
    <col min="14338" max="14338" width="11" style="8" customWidth="1"/>
    <col min="14339" max="14339" width="7.375" style="8" customWidth="1"/>
    <col min="14340" max="14340" width="17.25" style="8" bestFit="1" customWidth="1"/>
    <col min="14341" max="14341" width="9.125" style="8" customWidth="1"/>
    <col min="14342" max="14580" width="8.75" style="8"/>
    <col min="14581" max="14581" width="7.75" style="8" customWidth="1"/>
    <col min="14582" max="14582" width="32.375" style="8" customWidth="1"/>
    <col min="14583" max="14583" width="14.875" style="8" customWidth="1"/>
    <col min="14584" max="14584" width="10.375" style="8" customWidth="1"/>
    <col min="14585" max="14585" width="13.25" style="8" customWidth="1"/>
    <col min="14586" max="14586" width="12.125" style="8" customWidth="1"/>
    <col min="14587" max="14587" width="13.25" style="8" customWidth="1"/>
    <col min="14588" max="14588" width="12" style="8" customWidth="1"/>
    <col min="14589" max="14589" width="13.25" style="8" customWidth="1"/>
    <col min="14590" max="14590" width="11.875" style="8" customWidth="1"/>
    <col min="14591" max="14591" width="13.75" style="8" customWidth="1"/>
    <col min="14592" max="14592" width="12.375" style="8" customWidth="1"/>
    <col min="14593" max="14593" width="13.25" style="8" customWidth="1"/>
    <col min="14594" max="14594" width="11" style="8" customWidth="1"/>
    <col min="14595" max="14595" width="7.375" style="8" customWidth="1"/>
    <col min="14596" max="14596" width="17.25" style="8" bestFit="1" customWidth="1"/>
    <col min="14597" max="14597" width="9.125" style="8" customWidth="1"/>
    <col min="14598" max="14836" width="8.75" style="8"/>
    <col min="14837" max="14837" width="7.75" style="8" customWidth="1"/>
    <col min="14838" max="14838" width="32.375" style="8" customWidth="1"/>
    <col min="14839" max="14839" width="14.875" style="8" customWidth="1"/>
    <col min="14840" max="14840" width="10.375" style="8" customWidth="1"/>
    <col min="14841" max="14841" width="13.25" style="8" customWidth="1"/>
    <col min="14842" max="14842" width="12.125" style="8" customWidth="1"/>
    <col min="14843" max="14843" width="13.25" style="8" customWidth="1"/>
    <col min="14844" max="14844" width="12" style="8" customWidth="1"/>
    <col min="14845" max="14845" width="13.25" style="8" customWidth="1"/>
    <col min="14846" max="14846" width="11.875" style="8" customWidth="1"/>
    <col min="14847" max="14847" width="13.75" style="8" customWidth="1"/>
    <col min="14848" max="14848" width="12.375" style="8" customWidth="1"/>
    <col min="14849" max="14849" width="13.25" style="8" customWidth="1"/>
    <col min="14850" max="14850" width="11" style="8" customWidth="1"/>
    <col min="14851" max="14851" width="7.375" style="8" customWidth="1"/>
    <col min="14852" max="14852" width="17.25" style="8" bestFit="1" customWidth="1"/>
    <col min="14853" max="14853" width="9.125" style="8" customWidth="1"/>
    <col min="14854" max="15092" width="8.75" style="8"/>
    <col min="15093" max="15093" width="7.75" style="8" customWidth="1"/>
    <col min="15094" max="15094" width="32.375" style="8" customWidth="1"/>
    <col min="15095" max="15095" width="14.875" style="8" customWidth="1"/>
    <col min="15096" max="15096" width="10.375" style="8" customWidth="1"/>
    <col min="15097" max="15097" width="13.25" style="8" customWidth="1"/>
    <col min="15098" max="15098" width="12.125" style="8" customWidth="1"/>
    <col min="15099" max="15099" width="13.25" style="8" customWidth="1"/>
    <col min="15100" max="15100" width="12" style="8" customWidth="1"/>
    <col min="15101" max="15101" width="13.25" style="8" customWidth="1"/>
    <col min="15102" max="15102" width="11.875" style="8" customWidth="1"/>
    <col min="15103" max="15103" width="13.75" style="8" customWidth="1"/>
    <col min="15104" max="15104" width="12.375" style="8" customWidth="1"/>
    <col min="15105" max="15105" width="13.25" style="8" customWidth="1"/>
    <col min="15106" max="15106" width="11" style="8" customWidth="1"/>
    <col min="15107" max="15107" width="7.375" style="8" customWidth="1"/>
    <col min="15108" max="15108" width="17.25" style="8" bestFit="1" customWidth="1"/>
    <col min="15109" max="15109" width="9.125" style="8" customWidth="1"/>
    <col min="15110" max="15348" width="8.75" style="8"/>
    <col min="15349" max="15349" width="7.75" style="8" customWidth="1"/>
    <col min="15350" max="15350" width="32.375" style="8" customWidth="1"/>
    <col min="15351" max="15351" width="14.875" style="8" customWidth="1"/>
    <col min="15352" max="15352" width="10.375" style="8" customWidth="1"/>
    <col min="15353" max="15353" width="13.25" style="8" customWidth="1"/>
    <col min="15354" max="15354" width="12.125" style="8" customWidth="1"/>
    <col min="15355" max="15355" width="13.25" style="8" customWidth="1"/>
    <col min="15356" max="15356" width="12" style="8" customWidth="1"/>
    <col min="15357" max="15357" width="13.25" style="8" customWidth="1"/>
    <col min="15358" max="15358" width="11.875" style="8" customWidth="1"/>
    <col min="15359" max="15359" width="13.75" style="8" customWidth="1"/>
    <col min="15360" max="15360" width="12.375" style="8" customWidth="1"/>
    <col min="15361" max="15361" width="13.25" style="8" customWidth="1"/>
    <col min="15362" max="15362" width="11" style="8" customWidth="1"/>
    <col min="15363" max="15363" width="7.375" style="8" customWidth="1"/>
    <col min="15364" max="15364" width="17.25" style="8" bestFit="1" customWidth="1"/>
    <col min="15365" max="15365" width="9.125" style="8" customWidth="1"/>
    <col min="15366" max="15604" width="8.75" style="8"/>
    <col min="15605" max="15605" width="7.75" style="8" customWidth="1"/>
    <col min="15606" max="15606" width="32.375" style="8" customWidth="1"/>
    <col min="15607" max="15607" width="14.875" style="8" customWidth="1"/>
    <col min="15608" max="15608" width="10.375" style="8" customWidth="1"/>
    <col min="15609" max="15609" width="13.25" style="8" customWidth="1"/>
    <col min="15610" max="15610" width="12.125" style="8" customWidth="1"/>
    <col min="15611" max="15611" width="13.25" style="8" customWidth="1"/>
    <col min="15612" max="15612" width="12" style="8" customWidth="1"/>
    <col min="15613" max="15613" width="13.25" style="8" customWidth="1"/>
    <col min="15614" max="15614" width="11.875" style="8" customWidth="1"/>
    <col min="15615" max="15615" width="13.75" style="8" customWidth="1"/>
    <col min="15616" max="15616" width="12.375" style="8" customWidth="1"/>
    <col min="15617" max="15617" width="13.25" style="8" customWidth="1"/>
    <col min="15618" max="15618" width="11" style="8" customWidth="1"/>
    <col min="15619" max="15619" width="7.375" style="8" customWidth="1"/>
    <col min="15620" max="15620" width="17.25" style="8" bestFit="1" customWidth="1"/>
    <col min="15621" max="15621" width="9.125" style="8" customWidth="1"/>
    <col min="15622" max="15860" width="8.75" style="8"/>
    <col min="15861" max="15861" width="7.75" style="8" customWidth="1"/>
    <col min="15862" max="15862" width="32.375" style="8" customWidth="1"/>
    <col min="15863" max="15863" width="14.875" style="8" customWidth="1"/>
    <col min="15864" max="15864" width="10.375" style="8" customWidth="1"/>
    <col min="15865" max="15865" width="13.25" style="8" customWidth="1"/>
    <col min="15866" max="15866" width="12.125" style="8" customWidth="1"/>
    <col min="15867" max="15867" width="13.25" style="8" customWidth="1"/>
    <col min="15868" max="15868" width="12" style="8" customWidth="1"/>
    <col min="15869" max="15869" width="13.25" style="8" customWidth="1"/>
    <col min="15870" max="15870" width="11.875" style="8" customWidth="1"/>
    <col min="15871" max="15871" width="13.75" style="8" customWidth="1"/>
    <col min="15872" max="15872" width="12.375" style="8" customWidth="1"/>
    <col min="15873" max="15873" width="13.25" style="8" customWidth="1"/>
    <col min="15874" max="15874" width="11" style="8" customWidth="1"/>
    <col min="15875" max="15875" width="7.375" style="8" customWidth="1"/>
    <col min="15876" max="15876" width="17.25" style="8" bestFit="1" customWidth="1"/>
    <col min="15877" max="15877" width="9.125" style="8" customWidth="1"/>
    <col min="15878" max="16116" width="8.75" style="8"/>
    <col min="16117" max="16117" width="7.75" style="8" customWidth="1"/>
    <col min="16118" max="16118" width="32.375" style="8" customWidth="1"/>
    <col min="16119" max="16119" width="14.875" style="8" customWidth="1"/>
    <col min="16120" max="16120" width="10.375" style="8" customWidth="1"/>
    <col min="16121" max="16121" width="13.25" style="8" customWidth="1"/>
    <col min="16122" max="16122" width="12.125" style="8" customWidth="1"/>
    <col min="16123" max="16123" width="13.25" style="8" customWidth="1"/>
    <col min="16124" max="16124" width="12" style="8" customWidth="1"/>
    <col min="16125" max="16125" width="13.25" style="8" customWidth="1"/>
    <col min="16126" max="16126" width="11.875" style="8" customWidth="1"/>
    <col min="16127" max="16127" width="13.75" style="8" customWidth="1"/>
    <col min="16128" max="16128" width="12.375" style="8" customWidth="1"/>
    <col min="16129" max="16129" width="13.25" style="8" customWidth="1"/>
    <col min="16130" max="16130" width="11" style="8" customWidth="1"/>
    <col min="16131" max="16131" width="7.375" style="8" customWidth="1"/>
    <col min="16132" max="16132" width="17.25" style="8" bestFit="1" customWidth="1"/>
    <col min="16133" max="16133" width="9.125" style="8" customWidth="1"/>
    <col min="16134" max="16384" width="8.75" style="8"/>
  </cols>
  <sheetData>
    <row r="1" spans="1:87" hidden="1"/>
    <row r="2" spans="1:87" s="484" customFormat="1" ht="78" customHeight="1">
      <c r="A2" s="510" t="s">
        <v>1061</v>
      </c>
      <c r="B2" s="510"/>
      <c r="C2" s="510"/>
      <c r="D2" s="510"/>
      <c r="E2" s="510"/>
      <c r="F2" s="510"/>
      <c r="G2" s="510"/>
      <c r="H2" s="510"/>
      <c r="I2" s="510"/>
      <c r="J2" s="510"/>
      <c r="K2" s="510"/>
      <c r="L2" s="510"/>
      <c r="M2" s="510"/>
      <c r="N2" s="510"/>
      <c r="O2" s="510"/>
    </row>
    <row r="3" spans="1:87" s="484" customFormat="1" ht="26.25" hidden="1">
      <c r="A3" s="511" t="s">
        <v>1037</v>
      </c>
      <c r="B3" s="511"/>
      <c r="C3" s="511"/>
      <c r="D3" s="511"/>
      <c r="E3" s="511"/>
      <c r="F3" s="511"/>
      <c r="G3" s="511"/>
      <c r="H3" s="511"/>
      <c r="I3" s="511"/>
      <c r="J3" s="511"/>
      <c r="K3" s="511"/>
      <c r="L3" s="511"/>
      <c r="M3" s="511"/>
      <c r="N3" s="511"/>
      <c r="O3" s="511"/>
    </row>
    <row r="4" spans="1:87" s="484" customFormat="1" ht="26.25" hidden="1">
      <c r="A4" s="511" t="s">
        <v>1032</v>
      </c>
      <c r="B4" s="511"/>
      <c r="C4" s="511"/>
      <c r="D4" s="511"/>
      <c r="E4" s="511"/>
      <c r="F4" s="511"/>
      <c r="G4" s="511"/>
      <c r="H4" s="511"/>
      <c r="I4" s="511"/>
      <c r="J4" s="511"/>
      <c r="K4" s="511"/>
      <c r="L4" s="511"/>
      <c r="M4" s="511"/>
      <c r="N4" s="511"/>
      <c r="O4" s="511"/>
    </row>
    <row r="5" spans="1:87" s="484" customFormat="1" ht="22.5" hidden="1" customHeight="1">
      <c r="A5" s="511" t="s">
        <v>591</v>
      </c>
      <c r="B5" s="511"/>
      <c r="C5" s="511"/>
      <c r="D5" s="511"/>
      <c r="E5" s="511"/>
      <c r="F5" s="511"/>
      <c r="G5" s="511"/>
      <c r="H5" s="511"/>
      <c r="I5" s="511"/>
      <c r="J5" s="511"/>
      <c r="K5" s="511"/>
      <c r="L5" s="511"/>
      <c r="M5" s="511"/>
      <c r="N5" s="511"/>
      <c r="O5" s="511"/>
    </row>
    <row r="6" spans="1:87" s="485" customFormat="1" ht="23.1" customHeight="1">
      <c r="A6" s="511" t="s">
        <v>1065</v>
      </c>
      <c r="B6" s="511"/>
      <c r="C6" s="511"/>
      <c r="D6" s="511"/>
      <c r="E6" s="511"/>
      <c r="F6" s="511"/>
      <c r="G6" s="511"/>
      <c r="H6" s="511"/>
      <c r="I6" s="511"/>
      <c r="J6" s="511"/>
      <c r="K6" s="511"/>
      <c r="L6" s="511"/>
      <c r="M6" s="511"/>
      <c r="N6" s="511"/>
      <c r="O6" s="511"/>
    </row>
    <row r="7" spans="1:87" ht="23.25">
      <c r="M7" s="512" t="s">
        <v>570</v>
      </c>
      <c r="N7" s="512"/>
      <c r="O7" s="512"/>
    </row>
    <row r="8" spans="1:87" ht="26.25" customHeight="1">
      <c r="A8" s="506" t="s">
        <v>0</v>
      </c>
      <c r="B8" s="506" t="s">
        <v>1</v>
      </c>
      <c r="C8" s="507" t="s">
        <v>1044</v>
      </c>
      <c r="D8" s="507"/>
      <c r="E8" s="507"/>
      <c r="F8" s="507"/>
      <c r="G8" s="507"/>
      <c r="H8" s="507"/>
      <c r="I8" s="507"/>
      <c r="J8" s="507"/>
      <c r="K8" s="507"/>
      <c r="L8" s="507"/>
      <c r="M8" s="507"/>
      <c r="N8" s="507"/>
      <c r="O8" s="506" t="s">
        <v>21</v>
      </c>
    </row>
    <row r="9" spans="1:87" s="9" customFormat="1" ht="16.5" customHeight="1">
      <c r="A9" s="506"/>
      <c r="B9" s="506"/>
      <c r="C9" s="506" t="s">
        <v>56</v>
      </c>
      <c r="D9" s="506"/>
      <c r="E9" s="509" t="s">
        <v>23</v>
      </c>
      <c r="F9" s="509"/>
      <c r="G9" s="509"/>
      <c r="H9" s="509"/>
      <c r="I9" s="509"/>
      <c r="J9" s="509"/>
      <c r="K9" s="509"/>
      <c r="L9" s="509"/>
      <c r="M9" s="509"/>
      <c r="N9" s="509"/>
      <c r="O9" s="506"/>
      <c r="P9" s="508"/>
    </row>
    <row r="10" spans="1:87" s="9" customFormat="1" ht="51.6" customHeight="1">
      <c r="A10" s="506"/>
      <c r="B10" s="506"/>
      <c r="C10" s="506"/>
      <c r="D10" s="506"/>
      <c r="E10" s="506" t="s">
        <v>70</v>
      </c>
      <c r="F10" s="506"/>
      <c r="G10" s="506" t="s">
        <v>48</v>
      </c>
      <c r="H10" s="506"/>
      <c r="I10" s="506" t="s">
        <v>71</v>
      </c>
      <c r="J10" s="506"/>
      <c r="K10" s="506" t="s">
        <v>593</v>
      </c>
      <c r="L10" s="506"/>
      <c r="M10" s="506" t="s">
        <v>83</v>
      </c>
      <c r="N10" s="506"/>
      <c r="O10" s="506"/>
      <c r="P10" s="508"/>
      <c r="R10" s="506">
        <v>2020</v>
      </c>
      <c r="S10" s="506"/>
      <c r="T10" s="506"/>
      <c r="U10" s="506"/>
      <c r="V10" s="10"/>
      <c r="X10" s="506" t="s">
        <v>72</v>
      </c>
      <c r="Y10" s="506"/>
      <c r="Z10" s="506"/>
      <c r="AA10" s="506"/>
    </row>
    <row r="11" spans="1:87" s="9" customFormat="1" ht="22.5" customHeight="1">
      <c r="A11" s="506"/>
      <c r="B11" s="506"/>
      <c r="C11" s="11" t="s">
        <v>47</v>
      </c>
      <c r="D11" s="11" t="s">
        <v>73</v>
      </c>
      <c r="E11" s="11" t="s">
        <v>47</v>
      </c>
      <c r="F11" s="11" t="s">
        <v>73</v>
      </c>
      <c r="G11" s="11" t="s">
        <v>47</v>
      </c>
      <c r="H11" s="11" t="s">
        <v>73</v>
      </c>
      <c r="I11" s="11" t="s">
        <v>47</v>
      </c>
      <c r="J11" s="11" t="s">
        <v>73</v>
      </c>
      <c r="K11" s="11" t="s">
        <v>47</v>
      </c>
      <c r="L11" s="11" t="s">
        <v>73</v>
      </c>
      <c r="M11" s="11" t="s">
        <v>47</v>
      </c>
      <c r="N11" s="11" t="s">
        <v>73</v>
      </c>
      <c r="O11" s="506"/>
      <c r="R11" s="12">
        <f>S11+T11</f>
        <v>1231620</v>
      </c>
      <c r="S11" s="12">
        <v>839720</v>
      </c>
      <c r="T11" s="12">
        <v>391900</v>
      </c>
      <c r="U11" s="12"/>
      <c r="V11" s="12"/>
      <c r="W11" s="9" t="s">
        <v>74</v>
      </c>
      <c r="X11" s="13">
        <f>Y11+Z11</f>
        <v>6158100</v>
      </c>
      <c r="Y11" s="13">
        <f>S11*5</f>
        <v>4198600</v>
      </c>
      <c r="Z11" s="13">
        <f>T11*5</f>
        <v>1959500</v>
      </c>
    </row>
    <row r="12" spans="1:87" s="15" customFormat="1" ht="16.5">
      <c r="A12" s="14">
        <v>1</v>
      </c>
      <c r="B12" s="14">
        <v>2</v>
      </c>
      <c r="C12" s="14">
        <v>3</v>
      </c>
      <c r="D12" s="14">
        <v>4</v>
      </c>
      <c r="E12" s="14">
        <v>5</v>
      </c>
      <c r="F12" s="14">
        <v>6</v>
      </c>
      <c r="G12" s="14">
        <v>7</v>
      </c>
      <c r="H12" s="14">
        <v>8</v>
      </c>
      <c r="I12" s="14">
        <v>9</v>
      </c>
      <c r="J12" s="14">
        <v>10</v>
      </c>
      <c r="K12" s="14">
        <v>11</v>
      </c>
      <c r="L12" s="14">
        <v>12</v>
      </c>
      <c r="M12" s="14">
        <v>13</v>
      </c>
      <c r="N12" s="14">
        <v>14</v>
      </c>
      <c r="O12" s="14">
        <v>15</v>
      </c>
      <c r="W12" s="9" t="s">
        <v>75</v>
      </c>
      <c r="X12" s="13">
        <f>Y12+Z12</f>
        <v>8251854</v>
      </c>
      <c r="Y12" s="12">
        <f>S11*6.7</f>
        <v>5626124</v>
      </c>
      <c r="Z12" s="12">
        <f>T11*6.7</f>
        <v>2625730</v>
      </c>
    </row>
    <row r="13" spans="1:87" s="413" customFormat="1" ht="25.5" customHeight="1">
      <c r="A13" s="407"/>
      <c r="B13" s="408" t="s">
        <v>76</v>
      </c>
      <c r="C13" s="409">
        <f>C14+C37+C38+C39</f>
        <v>5978971</v>
      </c>
      <c r="D13" s="409"/>
      <c r="E13" s="409">
        <f>E14+E37+E38+E39</f>
        <v>1061000</v>
      </c>
      <c r="F13" s="409"/>
      <c r="G13" s="409">
        <f>G14+G37+G38+G39</f>
        <v>1600000</v>
      </c>
      <c r="H13" s="409"/>
      <c r="I13" s="409">
        <f t="shared" ref="I13:N13" si="0">I14+I37+I38+I39</f>
        <v>1247471</v>
      </c>
      <c r="J13" s="409"/>
      <c r="K13" s="409">
        <f t="shared" ref="K13" si="1">K14+K37+K38+K39</f>
        <v>1170500</v>
      </c>
      <c r="L13" s="409"/>
      <c r="M13" s="409">
        <f t="shared" si="0"/>
        <v>900000</v>
      </c>
      <c r="N13" s="409">
        <f t="shared" si="0"/>
        <v>0</v>
      </c>
      <c r="O13" s="410"/>
      <c r="P13" s="411"/>
      <c r="Q13" s="412" t="s">
        <v>77</v>
      </c>
      <c r="R13" s="12"/>
      <c r="S13" s="12"/>
      <c r="T13" s="12"/>
      <c r="U13" s="12"/>
      <c r="V13" s="12"/>
      <c r="X13" s="13">
        <f>Y13+Z13</f>
        <v>145400</v>
      </c>
      <c r="Y13" s="12">
        <v>27400</v>
      </c>
      <c r="Z13" s="12">
        <v>118000</v>
      </c>
      <c r="CI13" s="411"/>
    </row>
    <row r="14" spans="1:87" s="18" customFormat="1" ht="20.25" customHeight="1">
      <c r="A14" s="166" t="s">
        <v>4</v>
      </c>
      <c r="B14" s="167" t="s">
        <v>78</v>
      </c>
      <c r="C14" s="168">
        <f t="shared" ref="C14:L14" si="2">C16+C17+C15</f>
        <v>4557971</v>
      </c>
      <c r="D14" s="169">
        <f t="shared" si="2"/>
        <v>1</v>
      </c>
      <c r="E14" s="168">
        <f t="shared" si="2"/>
        <v>540000</v>
      </c>
      <c r="F14" s="169">
        <f t="shared" si="2"/>
        <v>1.0000000000000002</v>
      </c>
      <c r="G14" s="168">
        <f t="shared" si="2"/>
        <v>1600000</v>
      </c>
      <c r="H14" s="169">
        <f t="shared" si="2"/>
        <v>1.0000000000000002</v>
      </c>
      <c r="I14" s="168">
        <f t="shared" si="2"/>
        <v>1247471</v>
      </c>
      <c r="J14" s="169">
        <f t="shared" si="2"/>
        <v>1</v>
      </c>
      <c r="K14" s="168">
        <f t="shared" ref="K14" si="3">K16+K17+K15</f>
        <v>1170500</v>
      </c>
      <c r="L14" s="169">
        <f t="shared" si="2"/>
        <v>1</v>
      </c>
      <c r="M14" s="168">
        <f>M16+M17+M15</f>
        <v>0</v>
      </c>
      <c r="N14" s="168">
        <f>N16+N17+N15</f>
        <v>0</v>
      </c>
      <c r="O14" s="170"/>
      <c r="P14" s="16"/>
      <c r="Q14" s="17" t="s">
        <v>79</v>
      </c>
      <c r="X14" s="19">
        <f>X11+X13</f>
        <v>6303500</v>
      </c>
      <c r="Y14" s="19">
        <f t="shared" ref="Y14:AA14" si="4">Y11+Y13</f>
        <v>4226000</v>
      </c>
      <c r="Z14" s="19">
        <f t="shared" si="4"/>
        <v>2077500</v>
      </c>
      <c r="AA14" s="19">
        <f t="shared" si="4"/>
        <v>0</v>
      </c>
      <c r="CI14" s="16"/>
    </row>
    <row r="15" spans="1:87" s="21" customFormat="1" ht="21.95" customHeight="1">
      <c r="A15" s="171" t="s">
        <v>50</v>
      </c>
      <c r="B15" s="172" t="s">
        <v>842</v>
      </c>
      <c r="C15" s="175">
        <f>E15+G15+I15+K15+M15</f>
        <v>13000</v>
      </c>
      <c r="D15" s="174">
        <f>C15/$C$14</f>
        <v>2.8521462729797975E-3</v>
      </c>
      <c r="E15" s="175">
        <f>'PL3-PA DA'!AM16</f>
        <v>13000</v>
      </c>
      <c r="F15" s="176">
        <f>E15/$E$14</f>
        <v>2.4074074074074074E-2</v>
      </c>
      <c r="G15" s="173"/>
      <c r="H15" s="173"/>
      <c r="I15" s="173"/>
      <c r="J15" s="173"/>
      <c r="K15" s="173"/>
      <c r="L15" s="173"/>
      <c r="M15" s="173"/>
      <c r="N15" s="173"/>
      <c r="O15" s="177"/>
      <c r="P15" s="20"/>
      <c r="X15" s="22"/>
      <c r="Y15" s="22"/>
      <c r="Z15" s="22"/>
    </row>
    <row r="16" spans="1:87" s="23" customFormat="1" ht="33">
      <c r="A16" s="171" t="s">
        <v>51</v>
      </c>
      <c r="B16" s="172" t="s">
        <v>572</v>
      </c>
      <c r="C16" s="175">
        <f>E16+G16+I16+K16+M16</f>
        <v>40000</v>
      </c>
      <c r="D16" s="174">
        <f>C16/$C$14</f>
        <v>8.7758346860916849E-3</v>
      </c>
      <c r="E16" s="175">
        <f>'PL3-PA DA'!AM17</f>
        <v>20000</v>
      </c>
      <c r="F16" s="176">
        <f>E16/$E$14</f>
        <v>3.7037037037037035E-2</v>
      </c>
      <c r="G16" s="175">
        <f>'PL3-PA DA'!AN17</f>
        <v>20000</v>
      </c>
      <c r="H16" s="176">
        <f>G16/$G$14</f>
        <v>1.2500000000000001E-2</v>
      </c>
      <c r="I16" s="175">
        <f>'[1]PL2 DA21'!P17</f>
        <v>0</v>
      </c>
      <c r="J16" s="176"/>
      <c r="K16" s="175"/>
      <c r="L16" s="176"/>
      <c r="M16" s="176"/>
      <c r="N16" s="176"/>
      <c r="O16" s="171"/>
      <c r="R16" s="24"/>
      <c r="S16" s="24"/>
      <c r="T16" s="24"/>
      <c r="U16" s="24"/>
      <c r="V16" s="24"/>
      <c r="X16" s="19">
        <f>X14+X21</f>
        <v>6303500</v>
      </c>
      <c r="AA16" s="23" t="s">
        <v>80</v>
      </c>
      <c r="CI16" s="22"/>
    </row>
    <row r="17" spans="1:89" s="23" customFormat="1" ht="16.5">
      <c r="A17" s="171" t="s">
        <v>52</v>
      </c>
      <c r="B17" s="172" t="s">
        <v>27</v>
      </c>
      <c r="C17" s="175">
        <f>E17+G17+I17+K17+M17</f>
        <v>4504971</v>
      </c>
      <c r="D17" s="225">
        <f t="shared" ref="D17:M17" si="5">SUM(D20:D36)</f>
        <v>0.98837201904092853</v>
      </c>
      <c r="E17" s="175">
        <f t="shared" si="5"/>
        <v>507000</v>
      </c>
      <c r="F17" s="224">
        <f t="shared" si="5"/>
        <v>0.93888888888888899</v>
      </c>
      <c r="G17" s="175">
        <f t="shared" si="5"/>
        <v>1580000</v>
      </c>
      <c r="H17" s="176">
        <f t="shared" si="5"/>
        <v>0.98750000000000016</v>
      </c>
      <c r="I17" s="175">
        <f t="shared" si="5"/>
        <v>1247471</v>
      </c>
      <c r="J17" s="178">
        <f t="shared" si="5"/>
        <v>1</v>
      </c>
      <c r="K17" s="175">
        <f t="shared" si="5"/>
        <v>1170500</v>
      </c>
      <c r="L17" s="178">
        <f t="shared" si="5"/>
        <v>1</v>
      </c>
      <c r="M17" s="175">
        <f t="shared" si="5"/>
        <v>0</v>
      </c>
      <c r="N17" s="176"/>
      <c r="O17" s="171"/>
      <c r="P17" s="22"/>
      <c r="R17" s="24"/>
      <c r="S17" s="24"/>
      <c r="T17" s="24"/>
      <c r="U17" s="23" t="e">
        <f>(X16-X17)/X17*100</f>
        <v>#REF!</v>
      </c>
      <c r="X17" s="22" t="e">
        <f>#REF!+#REF!+#REF!</f>
        <v>#REF!</v>
      </c>
      <c r="AA17" s="23" t="s">
        <v>81</v>
      </c>
      <c r="CI17" s="22"/>
    </row>
    <row r="18" spans="1:89" s="15" customFormat="1" ht="44.1" customHeight="1">
      <c r="A18" s="179"/>
      <c r="B18" s="180" t="s">
        <v>90</v>
      </c>
      <c r="C18" s="181">
        <f>E18+G18+I18+K18+M18</f>
        <v>394480</v>
      </c>
      <c r="D18" s="182"/>
      <c r="E18" s="181">
        <f>'PL3-PA DA'!AM43</f>
        <v>17500</v>
      </c>
      <c r="F18" s="183"/>
      <c r="G18" s="181">
        <f>'PL3-PA DA'!AN43</f>
        <v>249150</v>
      </c>
      <c r="H18" s="184"/>
      <c r="I18" s="181">
        <f>'PL3-PA DA'!AO43</f>
        <v>127830</v>
      </c>
      <c r="J18" s="183"/>
      <c r="K18" s="181"/>
      <c r="L18" s="183"/>
      <c r="M18" s="181"/>
      <c r="N18" s="184"/>
      <c r="O18" s="179"/>
      <c r="P18" s="34"/>
      <c r="R18" s="35"/>
      <c r="S18" s="35"/>
      <c r="T18" s="35"/>
      <c r="X18" s="34"/>
      <c r="CI18" s="34"/>
    </row>
    <row r="19" spans="1:89" s="26" customFormat="1" ht="19.5" customHeight="1">
      <c r="A19" s="185"/>
      <c r="B19" s="186" t="s">
        <v>91</v>
      </c>
      <c r="C19" s="187"/>
      <c r="D19" s="188"/>
      <c r="E19" s="189"/>
      <c r="F19" s="190"/>
      <c r="G19" s="189"/>
      <c r="H19" s="191"/>
      <c r="I19" s="189"/>
      <c r="J19" s="190"/>
      <c r="K19" s="189"/>
      <c r="L19" s="190"/>
      <c r="M19" s="189"/>
      <c r="N19" s="191"/>
      <c r="O19" s="185"/>
      <c r="P19" s="25"/>
      <c r="R19" s="27"/>
      <c r="S19" s="27"/>
      <c r="T19" s="27"/>
      <c r="X19" s="25"/>
      <c r="CI19" s="25"/>
    </row>
    <row r="20" spans="1:89" s="23" customFormat="1" ht="19.5" customHeight="1">
      <c r="A20" s="185">
        <v>1</v>
      </c>
      <c r="B20" s="192" t="s">
        <v>57</v>
      </c>
      <c r="C20" s="189">
        <f t="shared" ref="C20:C28" si="6">E20+G20+I20+K20+M20</f>
        <v>49900</v>
      </c>
      <c r="D20" s="191">
        <f>C20/$C$14</f>
        <v>1.0947853770899376E-2</v>
      </c>
      <c r="E20" s="189">
        <f>'PL3-PA DA'!AM25</f>
        <v>28900</v>
      </c>
      <c r="F20" s="191">
        <f>E20/$E$14</f>
        <v>5.3518518518518521E-2</v>
      </c>
      <c r="G20" s="189"/>
      <c r="H20" s="191"/>
      <c r="I20" s="189">
        <f>'PL3-PA DA'!AO25</f>
        <v>21000</v>
      </c>
      <c r="J20" s="191">
        <f>I20/$I$14</f>
        <v>1.6834058667496078E-2</v>
      </c>
      <c r="K20" s="191"/>
      <c r="L20" s="191"/>
      <c r="M20" s="191"/>
      <c r="N20" s="191"/>
      <c r="O20" s="171"/>
      <c r="P20" s="22"/>
      <c r="R20" s="24"/>
      <c r="X20" s="22"/>
    </row>
    <row r="21" spans="1:89" s="26" customFormat="1" ht="19.5" customHeight="1">
      <c r="A21" s="185">
        <v>2</v>
      </c>
      <c r="B21" s="193" t="s">
        <v>58</v>
      </c>
      <c r="C21" s="189">
        <f t="shared" si="6"/>
        <v>45000</v>
      </c>
      <c r="D21" s="191">
        <f>C21/$C$14</f>
        <v>9.8728140218531449E-3</v>
      </c>
      <c r="E21" s="189">
        <f>'PL3-PA DA'!AM26</f>
        <v>45000</v>
      </c>
      <c r="F21" s="191">
        <f>E21/$E$14</f>
        <v>8.3333333333333329E-2</v>
      </c>
      <c r="G21" s="189"/>
      <c r="H21" s="191"/>
      <c r="I21" s="189"/>
      <c r="J21" s="191"/>
      <c r="K21" s="191"/>
      <c r="L21" s="191"/>
      <c r="M21" s="191"/>
      <c r="N21" s="191"/>
      <c r="O21" s="191"/>
      <c r="X21" s="22"/>
      <c r="Y21" s="21"/>
      <c r="Z21" s="21"/>
      <c r="AA21" s="23"/>
    </row>
    <row r="22" spans="1:89" s="23" customFormat="1" ht="19.5" customHeight="1">
      <c r="A22" s="185">
        <v>3</v>
      </c>
      <c r="B22" s="193" t="s">
        <v>37</v>
      </c>
      <c r="C22" s="189">
        <f t="shared" si="6"/>
        <v>649840</v>
      </c>
      <c r="D22" s="191">
        <f t="shared" ref="D22:D28" si="7">C22/$C$14</f>
        <v>0.1425722103102455</v>
      </c>
      <c r="E22" s="189"/>
      <c r="F22" s="191"/>
      <c r="G22" s="189">
        <f>'PL3-PA DA'!AN27</f>
        <v>649840</v>
      </c>
      <c r="H22" s="191">
        <f>G22/$G$14</f>
        <v>0.40615000000000001</v>
      </c>
      <c r="I22" s="189"/>
      <c r="J22" s="191"/>
      <c r="K22" s="191"/>
      <c r="L22" s="191"/>
      <c r="M22" s="191"/>
      <c r="N22" s="191"/>
      <c r="O22" s="194"/>
      <c r="CI22" s="28"/>
      <c r="CK22" s="22"/>
    </row>
    <row r="23" spans="1:89" s="21" customFormat="1" ht="19.5" customHeight="1">
      <c r="A23" s="185">
        <v>4</v>
      </c>
      <c r="B23" s="193" t="s">
        <v>59</v>
      </c>
      <c r="C23" s="189">
        <f t="shared" si="6"/>
        <v>19000</v>
      </c>
      <c r="D23" s="191">
        <f t="shared" si="7"/>
        <v>4.1685214758935499E-3</v>
      </c>
      <c r="E23" s="189">
        <f>'PL3-PA DA'!AM28</f>
        <v>19000</v>
      </c>
      <c r="F23" s="191">
        <f>E23/$E$14</f>
        <v>3.5185185185185187E-2</v>
      </c>
      <c r="G23" s="187"/>
      <c r="H23" s="195"/>
      <c r="I23" s="187"/>
      <c r="J23" s="195"/>
      <c r="K23" s="195"/>
      <c r="L23" s="195"/>
      <c r="M23" s="195"/>
      <c r="N23" s="195"/>
      <c r="O23" s="177"/>
      <c r="X23" s="20"/>
      <c r="CI23" s="20"/>
    </row>
    <row r="24" spans="1:89" s="23" customFormat="1" ht="19.5" customHeight="1">
      <c r="A24" s="185">
        <v>5</v>
      </c>
      <c r="B24" s="193" t="s">
        <v>62</v>
      </c>
      <c r="C24" s="189">
        <f t="shared" si="6"/>
        <v>341100</v>
      </c>
      <c r="D24" s="191">
        <f t="shared" si="7"/>
        <v>7.4835930285646834E-2</v>
      </c>
      <c r="E24" s="189"/>
      <c r="F24" s="191"/>
      <c r="G24" s="189">
        <f>'PL3-PA DA'!AN29</f>
        <v>205600</v>
      </c>
      <c r="H24" s="191">
        <f>G24/$G$14</f>
        <v>0.1285</v>
      </c>
      <c r="I24" s="189">
        <f>'PL3-PA DA'!AO29</f>
        <v>0</v>
      </c>
      <c r="J24" s="191">
        <f>I24/$I$14</f>
        <v>0</v>
      </c>
      <c r="K24" s="189">
        <f>'PL3-PA DA'!AP29</f>
        <v>135500</v>
      </c>
      <c r="L24" s="191">
        <f>K24/$K$14</f>
        <v>0.11576249466040153</v>
      </c>
      <c r="M24" s="191"/>
      <c r="N24" s="191"/>
      <c r="O24" s="194"/>
    </row>
    <row r="25" spans="1:89" s="23" customFormat="1" ht="19.5" customHeight="1">
      <c r="A25" s="185">
        <v>6</v>
      </c>
      <c r="B25" s="192" t="s">
        <v>84</v>
      </c>
      <c r="C25" s="189">
        <f t="shared" si="6"/>
        <v>25180</v>
      </c>
      <c r="D25" s="191">
        <f t="shared" si="7"/>
        <v>5.524387934894715E-3</v>
      </c>
      <c r="E25" s="189">
        <f>'PL3-PA DA'!AM30</f>
        <v>18900</v>
      </c>
      <c r="F25" s="191">
        <f t="shared" ref="F25:F27" si="8">E25/$E$14</f>
        <v>3.5000000000000003E-2</v>
      </c>
      <c r="G25" s="189">
        <f>'PL3-PA DA'!AN30</f>
        <v>6280</v>
      </c>
      <c r="H25" s="191">
        <f>G25/$G$14</f>
        <v>3.9249999999999997E-3</v>
      </c>
      <c r="I25" s="189">
        <f>'[2]PL2-PA DA'!BJ17</f>
        <v>0</v>
      </c>
      <c r="J25" s="191"/>
      <c r="K25" s="189">
        <f>'[2]PL2-PA DA'!BK17</f>
        <v>0</v>
      </c>
      <c r="L25" s="191"/>
      <c r="M25" s="191"/>
      <c r="N25" s="191"/>
      <c r="O25" s="171"/>
    </row>
    <row r="26" spans="1:89" s="23" customFormat="1" ht="19.5" customHeight="1">
      <c r="A26" s="185">
        <v>7</v>
      </c>
      <c r="B26" s="192" t="s">
        <v>61</v>
      </c>
      <c r="C26" s="189">
        <f t="shared" si="6"/>
        <v>18500</v>
      </c>
      <c r="D26" s="191">
        <f t="shared" si="7"/>
        <v>4.0588235423174041E-3</v>
      </c>
      <c r="E26" s="189">
        <f>'PL3-PA DA'!AM31</f>
        <v>18500</v>
      </c>
      <c r="F26" s="191">
        <f>E26/$E$14</f>
        <v>3.425925925925926E-2</v>
      </c>
      <c r="G26" s="189"/>
      <c r="H26" s="191"/>
      <c r="I26" s="189">
        <f>'[2]PL2-PA DA'!BJ18</f>
        <v>0</v>
      </c>
      <c r="J26" s="191"/>
      <c r="K26" s="189">
        <f>'[2]PL2-PA DA'!BK18</f>
        <v>0</v>
      </c>
      <c r="L26" s="191"/>
      <c r="M26" s="191"/>
      <c r="N26" s="191"/>
      <c r="O26" s="171"/>
    </row>
    <row r="27" spans="1:89" s="23" customFormat="1" ht="19.5" customHeight="1">
      <c r="A27" s="185">
        <v>8</v>
      </c>
      <c r="B27" s="193" t="s">
        <v>65</v>
      </c>
      <c r="C27" s="189">
        <f t="shared" si="6"/>
        <v>32920</v>
      </c>
      <c r="D27" s="191">
        <f t="shared" si="7"/>
        <v>7.2225119466534562E-3</v>
      </c>
      <c r="E27" s="189">
        <f>'PL3-PA DA'!AM32</f>
        <v>0</v>
      </c>
      <c r="F27" s="191">
        <f t="shared" si="8"/>
        <v>0</v>
      </c>
      <c r="G27" s="189">
        <f>'PL3-PA DA'!AN32</f>
        <v>32920</v>
      </c>
      <c r="H27" s="191">
        <f>G27/$G$14</f>
        <v>2.0575E-2</v>
      </c>
      <c r="I27" s="189"/>
      <c r="J27" s="191"/>
      <c r="K27" s="189"/>
      <c r="L27" s="191"/>
      <c r="M27" s="191"/>
      <c r="N27" s="191"/>
      <c r="O27" s="171"/>
    </row>
    <row r="28" spans="1:89" s="23" customFormat="1" ht="19.5" customHeight="1">
      <c r="A28" s="185">
        <v>9</v>
      </c>
      <c r="B28" s="196" t="s">
        <v>69</v>
      </c>
      <c r="C28" s="189">
        <f t="shared" si="6"/>
        <v>47234</v>
      </c>
      <c r="D28" s="191">
        <f t="shared" si="7"/>
        <v>1.0362944389071366E-2</v>
      </c>
      <c r="E28" s="189">
        <f>'PL3-PA DA'!AM34</f>
        <v>47234</v>
      </c>
      <c r="F28" s="191">
        <f>E28/$E$14</f>
        <v>8.7470370370370365E-2</v>
      </c>
      <c r="G28" s="189"/>
      <c r="H28" s="191">
        <f>G28/$G$14</f>
        <v>0</v>
      </c>
      <c r="I28" s="189"/>
      <c r="J28" s="191">
        <f>I28/$I$14</f>
        <v>0</v>
      </c>
      <c r="K28" s="189"/>
      <c r="L28" s="191"/>
      <c r="M28" s="191"/>
      <c r="N28" s="191"/>
      <c r="O28" s="171"/>
    </row>
    <row r="29" spans="1:89" s="23" customFormat="1" ht="19.5" customHeight="1">
      <c r="A29" s="185">
        <v>10</v>
      </c>
      <c r="B29" s="192" t="s">
        <v>85</v>
      </c>
      <c r="C29" s="189"/>
      <c r="D29" s="191">
        <f t="shared" ref="D29" si="9">C29/$C$17</f>
        <v>0</v>
      </c>
      <c r="E29" s="189"/>
      <c r="F29" s="191"/>
      <c r="G29" s="189"/>
      <c r="H29" s="191"/>
      <c r="I29" s="189"/>
      <c r="J29" s="191"/>
      <c r="K29" s="189"/>
      <c r="L29" s="191"/>
      <c r="M29" s="191"/>
      <c r="N29" s="191"/>
      <c r="O29" s="194"/>
    </row>
    <row r="30" spans="1:89" s="23" customFormat="1" ht="33">
      <c r="A30" s="185" t="s">
        <v>86</v>
      </c>
      <c r="B30" s="193" t="s">
        <v>63</v>
      </c>
      <c r="C30" s="189">
        <f t="shared" ref="C30:C35" si="10">E30+G30+I30+K30+M30</f>
        <v>740576</v>
      </c>
      <c r="D30" s="191">
        <f t="shared" ref="D30:D36" si="11">C30/$C$14</f>
        <v>0.16247931371217589</v>
      </c>
      <c r="E30" s="189">
        <f>'PL3-PA DA'!AM36</f>
        <v>12146</v>
      </c>
      <c r="F30" s="191">
        <f>E30/$E$14</f>
        <v>2.2492592592592592E-2</v>
      </c>
      <c r="G30" s="189">
        <f>'PL3-PA DA'!AN36</f>
        <v>51300</v>
      </c>
      <c r="H30" s="191">
        <f>G30/$G$14</f>
        <v>3.2062500000000001E-2</v>
      </c>
      <c r="I30" s="189">
        <f>'PL3-PA DA'!AO36</f>
        <v>387130</v>
      </c>
      <c r="J30" s="191">
        <f>I30/$I$14</f>
        <v>0.31033186342608365</v>
      </c>
      <c r="K30" s="189">
        <f>'PL3-PA DA'!AP36</f>
        <v>290000</v>
      </c>
      <c r="L30" s="191">
        <f t="shared" ref="L30:L31" si="12">K30/$K$14</f>
        <v>0.24775736864587783</v>
      </c>
      <c r="M30" s="191"/>
      <c r="N30" s="191"/>
      <c r="O30" s="194"/>
    </row>
    <row r="31" spans="1:89" s="23" customFormat="1" ht="18.600000000000001" customHeight="1">
      <c r="A31" s="185" t="s">
        <v>87</v>
      </c>
      <c r="B31" s="193" t="s">
        <v>38</v>
      </c>
      <c r="C31" s="189">
        <f t="shared" si="10"/>
        <v>1868960</v>
      </c>
      <c r="D31" s="191">
        <f t="shared" si="11"/>
        <v>0.41004209987294787</v>
      </c>
      <c r="E31" s="189">
        <f>'PL3-PA DA'!AM37</f>
        <v>0</v>
      </c>
      <c r="F31" s="191">
        <f t="shared" ref="F31:F36" si="13">E31/$E$14</f>
        <v>0</v>
      </c>
      <c r="G31" s="189">
        <f>'PL3-PA DA'!AN37</f>
        <v>416960</v>
      </c>
      <c r="H31" s="191">
        <f>G31/$G$14</f>
        <v>0.2606</v>
      </c>
      <c r="I31" s="189">
        <f>'PL3-PA DA'!AO37</f>
        <v>707000</v>
      </c>
      <c r="J31" s="191">
        <f>I31/$I$14</f>
        <v>0.56674664180570133</v>
      </c>
      <c r="K31" s="189">
        <f>'PL3-PA DA'!AP37</f>
        <v>745000</v>
      </c>
      <c r="L31" s="191">
        <f t="shared" si="12"/>
        <v>0.63648013669372061</v>
      </c>
      <c r="M31" s="191"/>
      <c r="N31" s="191"/>
      <c r="O31" s="171"/>
    </row>
    <row r="32" spans="1:89" s="23" customFormat="1" ht="18.600000000000001" customHeight="1">
      <c r="A32" s="185" t="s">
        <v>88</v>
      </c>
      <c r="B32" s="193" t="s">
        <v>60</v>
      </c>
      <c r="C32" s="189">
        <f t="shared" si="10"/>
        <v>100000</v>
      </c>
      <c r="D32" s="191">
        <f t="shared" si="11"/>
        <v>2.193958671522921E-2</v>
      </c>
      <c r="E32" s="189"/>
      <c r="F32" s="191">
        <f t="shared" si="13"/>
        <v>0</v>
      </c>
      <c r="G32" s="189"/>
      <c r="H32" s="191">
        <f>G32/$G$14</f>
        <v>0</v>
      </c>
      <c r="I32" s="189">
        <f>'PL3-PA DA'!AO38</f>
        <v>100000</v>
      </c>
      <c r="J32" s="191">
        <f>I32/$I$14</f>
        <v>8.0162184130933706E-2</v>
      </c>
      <c r="K32" s="189"/>
      <c r="L32" s="191"/>
      <c r="M32" s="191"/>
      <c r="N32" s="191"/>
      <c r="O32" s="171"/>
    </row>
    <row r="33" spans="1:15" s="23" customFormat="1" ht="18.600000000000001" customHeight="1">
      <c r="A33" s="185" t="s">
        <v>89</v>
      </c>
      <c r="B33" s="192" t="s">
        <v>31</v>
      </c>
      <c r="C33" s="189">
        <f t="shared" si="10"/>
        <v>48400</v>
      </c>
      <c r="D33" s="191">
        <f t="shared" si="11"/>
        <v>1.0618759970170939E-2</v>
      </c>
      <c r="E33" s="189">
        <f>'PL3-PA DA'!AM39</f>
        <v>20400</v>
      </c>
      <c r="F33" s="191">
        <f t="shared" si="13"/>
        <v>3.7777777777777778E-2</v>
      </c>
      <c r="G33" s="189"/>
      <c r="H33" s="191">
        <f>G33/$G$14</f>
        <v>0</v>
      </c>
      <c r="I33" s="189">
        <f>'PL3-PA DA'!AO39</f>
        <v>28000</v>
      </c>
      <c r="J33" s="191">
        <f>I33/$I$14</f>
        <v>2.2445411556661438E-2</v>
      </c>
      <c r="K33" s="189"/>
      <c r="L33" s="191"/>
      <c r="M33" s="191"/>
      <c r="N33" s="191"/>
      <c r="O33" s="194"/>
    </row>
    <row r="34" spans="1:15" s="23" customFormat="1" ht="33" customHeight="1">
      <c r="A34" s="185" t="s">
        <v>571</v>
      </c>
      <c r="B34" s="193" t="s">
        <v>102</v>
      </c>
      <c r="C34" s="189">
        <f t="shared" si="10"/>
        <v>469920</v>
      </c>
      <c r="D34" s="191">
        <f t="shared" si="11"/>
        <v>0.10309850589220511</v>
      </c>
      <c r="E34" s="189">
        <f>'PL3-PA DA'!AM40</f>
        <v>266820</v>
      </c>
      <c r="F34" s="191">
        <f t="shared" si="13"/>
        <v>0.49411111111111111</v>
      </c>
      <c r="G34" s="189">
        <f>'PL3-PA DA'!AN40</f>
        <v>203100</v>
      </c>
      <c r="H34" s="191">
        <f>G34/$G$14</f>
        <v>0.12693750000000001</v>
      </c>
      <c r="I34" s="189"/>
      <c r="J34" s="191"/>
      <c r="K34" s="189"/>
      <c r="L34" s="191"/>
      <c r="M34" s="191"/>
      <c r="N34" s="191"/>
      <c r="O34" s="194"/>
    </row>
    <row r="35" spans="1:15" s="23" customFormat="1" ht="51" customHeight="1">
      <c r="A35" s="185">
        <v>11</v>
      </c>
      <c r="B35" s="193" t="s">
        <v>64</v>
      </c>
      <c r="C35" s="189">
        <f t="shared" si="10"/>
        <v>25100</v>
      </c>
      <c r="D35" s="191">
        <f t="shared" si="11"/>
        <v>5.5068362655225321E-3</v>
      </c>
      <c r="E35" s="189">
        <f>'PL3-PA DA'!AM41</f>
        <v>25100</v>
      </c>
      <c r="F35" s="191">
        <f t="shared" si="13"/>
        <v>4.6481481481481485E-2</v>
      </c>
      <c r="G35" s="189"/>
      <c r="H35" s="191"/>
      <c r="I35" s="189"/>
      <c r="J35" s="191"/>
      <c r="K35" s="189"/>
      <c r="L35" s="191"/>
      <c r="M35" s="191"/>
      <c r="N35" s="191"/>
      <c r="O35" s="171"/>
    </row>
    <row r="36" spans="1:15" s="23" customFormat="1" ht="21.95" customHeight="1">
      <c r="A36" s="185">
        <v>12</v>
      </c>
      <c r="B36" s="197" t="s">
        <v>103</v>
      </c>
      <c r="C36" s="189">
        <f t="shared" ref="C36" si="14">E36+G36+I36+K36+M36</f>
        <v>23341</v>
      </c>
      <c r="D36" s="191">
        <f t="shared" si="11"/>
        <v>5.12091893520165E-3</v>
      </c>
      <c r="E36" s="189">
        <f>'PL3-PA DA'!AM42</f>
        <v>5000</v>
      </c>
      <c r="F36" s="191">
        <f t="shared" si="13"/>
        <v>9.2592592592592587E-3</v>
      </c>
      <c r="G36" s="189">
        <f>'PL3-PA DA'!AN42</f>
        <v>14000</v>
      </c>
      <c r="H36" s="191">
        <f>G36/$G$14</f>
        <v>8.7500000000000008E-3</v>
      </c>
      <c r="I36" s="189">
        <f>'PL3-PA DA'!AO42</f>
        <v>4341</v>
      </c>
      <c r="J36" s="191">
        <f>I36/$I$14</f>
        <v>3.4798404131238321E-3</v>
      </c>
      <c r="K36" s="189"/>
      <c r="L36" s="191"/>
      <c r="M36" s="191"/>
      <c r="N36" s="191"/>
      <c r="O36" s="171"/>
    </row>
    <row r="37" spans="1:15" s="18" customFormat="1" ht="20.25" customHeight="1">
      <c r="A37" s="170" t="s">
        <v>10</v>
      </c>
      <c r="B37" s="167" t="s">
        <v>82</v>
      </c>
      <c r="C37" s="168">
        <f>E37+G37+I37+K37+M37</f>
        <v>521000</v>
      </c>
      <c r="D37" s="168"/>
      <c r="E37" s="168">
        <v>521000</v>
      </c>
      <c r="F37" s="198">
        <f>E37/$E$13</f>
        <v>0.49104618284637136</v>
      </c>
      <c r="G37" s="168"/>
      <c r="H37" s="168"/>
      <c r="I37" s="199">
        <f>'[1]PL2 DA21'!P32</f>
        <v>0</v>
      </c>
      <c r="J37" s="168"/>
      <c r="K37" s="168"/>
      <c r="L37" s="168"/>
      <c r="M37" s="168"/>
      <c r="N37" s="168"/>
      <c r="O37" s="177" t="s">
        <v>590</v>
      </c>
    </row>
    <row r="38" spans="1:15" s="18" customFormat="1" ht="26.25" customHeight="1">
      <c r="A38" s="170" t="s">
        <v>12</v>
      </c>
      <c r="B38" s="167" t="s">
        <v>83</v>
      </c>
      <c r="C38" s="168">
        <f>E38+G38+I38+K38+M38</f>
        <v>900000</v>
      </c>
      <c r="D38" s="168"/>
      <c r="E38" s="168"/>
      <c r="F38" s="168"/>
      <c r="G38" s="168"/>
      <c r="H38" s="168"/>
      <c r="I38" s="168"/>
      <c r="J38" s="168"/>
      <c r="K38" s="168"/>
      <c r="L38" s="168"/>
      <c r="M38" s="168">
        <v>900000</v>
      </c>
      <c r="N38" s="168"/>
      <c r="O38" s="177" t="s">
        <v>590</v>
      </c>
    </row>
    <row r="39" spans="1:15" s="18" customFormat="1" ht="38.1" hidden="1" customHeight="1">
      <c r="A39" s="170" t="s">
        <v>117</v>
      </c>
      <c r="B39" s="167" t="s">
        <v>575</v>
      </c>
      <c r="C39" s="168"/>
      <c r="D39" s="168"/>
      <c r="E39" s="168"/>
      <c r="F39" s="168"/>
      <c r="G39" s="168"/>
      <c r="H39" s="168"/>
      <c r="I39" s="168"/>
      <c r="J39" s="168"/>
      <c r="K39" s="168"/>
      <c r="L39" s="168"/>
      <c r="M39" s="168"/>
      <c r="N39" s="168"/>
      <c r="O39" s="170"/>
    </row>
    <row r="40" spans="1:15" s="26" customFormat="1" ht="21" customHeight="1">
      <c r="A40" s="200"/>
      <c r="B40" s="201"/>
      <c r="C40" s="202"/>
      <c r="D40" s="202"/>
      <c r="E40" s="202"/>
      <c r="F40" s="202"/>
      <c r="G40" s="202"/>
      <c r="H40" s="202"/>
      <c r="I40" s="202"/>
      <c r="J40" s="202"/>
      <c r="K40" s="202"/>
      <c r="L40" s="202"/>
      <c r="M40" s="202"/>
      <c r="N40" s="202"/>
      <c r="O40" s="200"/>
    </row>
    <row r="41" spans="1:15" s="6" customFormat="1">
      <c r="A41" s="29"/>
      <c r="C41" s="30"/>
      <c r="D41" s="30"/>
      <c r="E41" s="30"/>
      <c r="F41" s="30"/>
      <c r="G41" s="30"/>
      <c r="H41" s="30"/>
      <c r="I41" s="30"/>
      <c r="J41" s="30"/>
      <c r="K41" s="30"/>
      <c r="L41" s="30"/>
      <c r="M41" s="30"/>
      <c r="N41" s="30"/>
      <c r="O41" s="29"/>
    </row>
    <row r="42" spans="1:15" s="6" customFormat="1">
      <c r="A42" s="29"/>
      <c r="B42" s="31" t="s">
        <v>1033</v>
      </c>
      <c r="C42" s="30"/>
      <c r="D42" s="30"/>
      <c r="E42" s="30"/>
      <c r="F42" s="30"/>
      <c r="G42" s="30"/>
      <c r="H42" s="30"/>
      <c r="I42" s="30"/>
      <c r="J42" s="30"/>
      <c r="K42" s="30"/>
      <c r="L42" s="30"/>
      <c r="M42" s="30"/>
      <c r="N42" s="30"/>
      <c r="O42" s="29"/>
    </row>
    <row r="43" spans="1:15">
      <c r="B43" s="8" t="s">
        <v>1035</v>
      </c>
    </row>
    <row r="45" spans="1:15">
      <c r="E45" s="32"/>
      <c r="G45" s="32"/>
      <c r="I45" s="32"/>
    </row>
    <row r="48" spans="1:15">
      <c r="B48" s="33"/>
    </row>
  </sheetData>
  <mergeCells count="20">
    <mergeCell ref="A8:A11"/>
    <mergeCell ref="A2:O2"/>
    <mergeCell ref="A3:O3"/>
    <mergeCell ref="A4:O4"/>
    <mergeCell ref="A5:O5"/>
    <mergeCell ref="M7:O7"/>
    <mergeCell ref="A6:O6"/>
    <mergeCell ref="B8:B11"/>
    <mergeCell ref="C9:D10"/>
    <mergeCell ref="R10:U10"/>
    <mergeCell ref="X10:AA10"/>
    <mergeCell ref="O8:O11"/>
    <mergeCell ref="C8:N8"/>
    <mergeCell ref="P9:P10"/>
    <mergeCell ref="E10:F10"/>
    <mergeCell ref="G10:H10"/>
    <mergeCell ref="I10:J10"/>
    <mergeCell ref="K10:L10"/>
    <mergeCell ref="M10:N10"/>
    <mergeCell ref="E9:N9"/>
  </mergeCells>
  <printOptions horizontalCentered="1"/>
  <pageMargins left="0.39370078740157483" right="0.39370078740157483" top="0.19685039370078741" bottom="0.19685039370078741" header="0.31496062992125984" footer="0.31496062992125984"/>
  <pageSetup paperSize="9" scale="61" fitToHeight="0" orientation="landscape" horizontalDpi="300" verticalDpi="300" r:id="rId1"/>
  <headerFooter>
    <oddHeader>&amp;R&amp;"Times New Roman,Regular"&amp;13PL2: TH2023 (nguồn vốn)</oddHeader>
    <oddFooter>&amp;R&amp;"Times New Roman,Regular"&amp;12&amp;P/&amp;N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625"/>
  <sheetViews>
    <sheetView showGridLines="0" showZeros="0" tabSelected="1" topLeftCell="B1" zoomScale="84" zoomScaleNormal="84" workbookViewId="0">
      <selection activeCell="B6" sqref="B6:AQ6"/>
    </sheetView>
  </sheetViews>
  <sheetFormatPr defaultColWidth="9.125" defaultRowHeight="15"/>
  <cols>
    <col min="1" max="1" width="3.375" style="51" hidden="1" customWidth="1"/>
    <col min="2" max="2" width="6" style="51" customWidth="1"/>
    <col min="3" max="3" width="31" style="51" customWidth="1"/>
    <col min="4" max="4" width="8.375" style="73" customWidth="1"/>
    <col min="5" max="5" width="7.25" style="226" hidden="1" customWidth="1"/>
    <col min="6" max="6" width="10.125" style="226" hidden="1" customWidth="1"/>
    <col min="7" max="7" width="6.375" style="226" hidden="1" customWidth="1"/>
    <col min="8" max="8" width="9.875" style="226" hidden="1" customWidth="1"/>
    <col min="9" max="9" width="6.875" style="226" hidden="1" customWidth="1"/>
    <col min="10" max="10" width="9.875" style="226" hidden="1" customWidth="1"/>
    <col min="11" max="13" width="7.375" style="226" hidden="1" customWidth="1"/>
    <col min="14" max="14" width="9.375" style="73" customWidth="1"/>
    <col min="15" max="15" width="10.125" style="73" hidden="1" customWidth="1"/>
    <col min="16" max="16" width="11.875" style="73" customWidth="1"/>
    <col min="17" max="17" width="10.75" style="73" hidden="1" customWidth="1"/>
    <col min="18" max="18" width="8.375" style="73" hidden="1" customWidth="1"/>
    <col min="19" max="19" width="27.25" style="73" customWidth="1"/>
    <col min="20" max="20" width="7.375" style="51" customWidth="1"/>
    <col min="21" max="21" width="20.375" style="51" hidden="1" customWidth="1"/>
    <col min="22" max="22" width="19.375" style="51" customWidth="1"/>
    <col min="23" max="23" width="12.875" style="51" customWidth="1"/>
    <col min="24" max="24" width="10.125" style="227" hidden="1" customWidth="1"/>
    <col min="25" max="25" width="12.875" style="51" customWidth="1"/>
    <col min="26" max="26" width="11.375" style="227" hidden="1" customWidth="1"/>
    <col min="27" max="27" width="12.875" style="51" customWidth="1"/>
    <col min="28" max="35" width="11.375" style="227" hidden="1" customWidth="1"/>
    <col min="36" max="36" width="12" style="51" customWidth="1"/>
    <col min="37" max="37" width="10.75" style="227" hidden="1" customWidth="1"/>
    <col min="38" max="38" width="13" style="51" customWidth="1"/>
    <col min="39" max="39" width="10.375" style="51" customWidth="1"/>
    <col min="40" max="42" width="11.375" style="51" customWidth="1"/>
    <col min="43" max="43" width="19.125" style="51" customWidth="1"/>
    <col min="44" max="44" width="13.125" style="51" hidden="1" customWidth="1"/>
    <col min="45" max="45" width="25.125" style="51" hidden="1" customWidth="1"/>
    <col min="46" max="55" width="9.125" style="51" customWidth="1"/>
    <col min="56" max="16384" width="9.125" style="51"/>
  </cols>
  <sheetData>
    <row r="1" spans="2:45" s="486" customFormat="1" ht="26.25">
      <c r="B1" s="532" t="s">
        <v>1046</v>
      </c>
      <c r="C1" s="532"/>
      <c r="D1" s="532"/>
      <c r="E1" s="532"/>
      <c r="F1" s="532"/>
      <c r="G1" s="532"/>
      <c r="H1" s="532"/>
      <c r="I1" s="532"/>
      <c r="J1" s="532"/>
      <c r="K1" s="532"/>
      <c r="L1" s="532"/>
      <c r="M1" s="532"/>
      <c r="N1" s="532"/>
      <c r="O1" s="532"/>
      <c r="P1" s="532"/>
      <c r="Q1" s="532"/>
      <c r="R1" s="532"/>
      <c r="S1" s="532"/>
      <c r="T1" s="532"/>
      <c r="U1" s="532"/>
      <c r="V1" s="532"/>
      <c r="W1" s="532"/>
      <c r="X1" s="532"/>
      <c r="Y1" s="532"/>
      <c r="Z1" s="532"/>
      <c r="AA1" s="532"/>
      <c r="AB1" s="532"/>
      <c r="AC1" s="532"/>
      <c r="AD1" s="532"/>
      <c r="AE1" s="532"/>
      <c r="AF1" s="532"/>
      <c r="AG1" s="532"/>
      <c r="AH1" s="532"/>
      <c r="AI1" s="532"/>
      <c r="AJ1" s="532"/>
      <c r="AK1" s="532"/>
      <c r="AL1" s="532"/>
      <c r="AM1" s="532"/>
      <c r="AN1" s="532"/>
      <c r="AO1" s="532"/>
      <c r="AP1" s="532"/>
      <c r="AQ1" s="532"/>
    </row>
    <row r="2" spans="2:45" s="486" customFormat="1" ht="49.5" customHeight="1">
      <c r="B2" s="533" t="s">
        <v>1045</v>
      </c>
      <c r="C2" s="532"/>
      <c r="D2" s="532"/>
      <c r="E2" s="532"/>
      <c r="F2" s="532"/>
      <c r="G2" s="532"/>
      <c r="H2" s="532"/>
      <c r="I2" s="532"/>
      <c r="J2" s="532"/>
      <c r="K2" s="532"/>
      <c r="L2" s="532"/>
      <c r="M2" s="532"/>
      <c r="N2" s="532"/>
      <c r="O2" s="532"/>
      <c r="P2" s="532"/>
      <c r="Q2" s="532"/>
      <c r="R2" s="532"/>
      <c r="S2" s="532"/>
      <c r="T2" s="532"/>
      <c r="U2" s="532"/>
      <c r="V2" s="532"/>
      <c r="W2" s="532"/>
      <c r="X2" s="532"/>
      <c r="Y2" s="532"/>
      <c r="Z2" s="532"/>
      <c r="AA2" s="532"/>
      <c r="AB2" s="532"/>
      <c r="AC2" s="532"/>
      <c r="AD2" s="532"/>
      <c r="AE2" s="532"/>
      <c r="AF2" s="532"/>
      <c r="AG2" s="532"/>
      <c r="AH2" s="532"/>
      <c r="AI2" s="532"/>
      <c r="AJ2" s="532"/>
      <c r="AK2" s="532"/>
      <c r="AL2" s="532"/>
      <c r="AM2" s="532"/>
      <c r="AN2" s="532"/>
      <c r="AO2" s="532"/>
      <c r="AP2" s="532"/>
      <c r="AQ2" s="532"/>
    </row>
    <row r="3" spans="2:45" s="486" customFormat="1" ht="18" hidden="1" customHeight="1">
      <c r="B3" s="534" t="s">
        <v>819</v>
      </c>
      <c r="C3" s="534"/>
      <c r="D3" s="534"/>
      <c r="E3" s="534"/>
      <c r="F3" s="534"/>
      <c r="G3" s="534"/>
      <c r="H3" s="534"/>
      <c r="I3" s="534"/>
      <c r="J3" s="534"/>
      <c r="K3" s="534"/>
      <c r="L3" s="534"/>
      <c r="M3" s="534"/>
      <c r="N3" s="534"/>
      <c r="O3" s="534"/>
      <c r="P3" s="534"/>
      <c r="Q3" s="534"/>
      <c r="R3" s="534"/>
      <c r="S3" s="534"/>
      <c r="T3" s="534"/>
      <c r="U3" s="534"/>
      <c r="V3" s="534"/>
      <c r="W3" s="534"/>
      <c r="X3" s="534"/>
      <c r="Y3" s="534"/>
      <c r="Z3" s="534"/>
      <c r="AA3" s="534"/>
      <c r="AB3" s="534"/>
      <c r="AC3" s="534"/>
      <c r="AD3" s="534"/>
      <c r="AE3" s="534"/>
      <c r="AF3" s="534"/>
      <c r="AG3" s="534"/>
      <c r="AH3" s="534"/>
      <c r="AI3" s="534"/>
      <c r="AJ3" s="534"/>
      <c r="AK3" s="534"/>
      <c r="AL3" s="534"/>
      <c r="AM3" s="534"/>
      <c r="AN3" s="534"/>
      <c r="AO3" s="534"/>
      <c r="AP3" s="534"/>
      <c r="AQ3" s="534"/>
    </row>
    <row r="4" spans="2:45" s="486" customFormat="1" ht="18" hidden="1" customHeight="1">
      <c r="B4" s="534" t="s">
        <v>1031</v>
      </c>
      <c r="C4" s="534"/>
      <c r="D4" s="534"/>
      <c r="E4" s="534"/>
      <c r="F4" s="534"/>
      <c r="G4" s="534"/>
      <c r="H4" s="534"/>
      <c r="I4" s="534"/>
      <c r="J4" s="534"/>
      <c r="K4" s="534"/>
      <c r="L4" s="534"/>
      <c r="M4" s="534"/>
      <c r="N4" s="534"/>
      <c r="O4" s="534"/>
      <c r="P4" s="534"/>
      <c r="Q4" s="534"/>
      <c r="R4" s="534"/>
      <c r="S4" s="534"/>
      <c r="T4" s="534"/>
      <c r="U4" s="534"/>
      <c r="V4" s="534"/>
      <c r="W4" s="534"/>
      <c r="X4" s="534"/>
      <c r="Y4" s="534"/>
      <c r="Z4" s="534"/>
      <c r="AA4" s="534"/>
      <c r="AB4" s="534"/>
      <c r="AC4" s="534"/>
      <c r="AD4" s="534"/>
      <c r="AE4" s="534"/>
      <c r="AF4" s="534"/>
      <c r="AG4" s="534"/>
      <c r="AH4" s="534"/>
      <c r="AI4" s="534"/>
      <c r="AJ4" s="534"/>
      <c r="AK4" s="534"/>
      <c r="AL4" s="534"/>
      <c r="AM4" s="534"/>
      <c r="AN4" s="534"/>
      <c r="AO4" s="534"/>
      <c r="AP4" s="534"/>
      <c r="AQ4" s="534"/>
    </row>
    <row r="5" spans="2:45" s="486" customFormat="1" ht="26.25" hidden="1">
      <c r="B5" s="534" t="s">
        <v>591</v>
      </c>
      <c r="C5" s="534"/>
      <c r="D5" s="534"/>
      <c r="E5" s="534"/>
      <c r="F5" s="534"/>
      <c r="G5" s="534"/>
      <c r="H5" s="534"/>
      <c r="I5" s="534"/>
      <c r="J5" s="534"/>
      <c r="K5" s="534"/>
      <c r="L5" s="534"/>
      <c r="M5" s="534"/>
      <c r="N5" s="534"/>
      <c r="O5" s="534"/>
      <c r="P5" s="534"/>
      <c r="Q5" s="534"/>
      <c r="R5" s="534"/>
      <c r="S5" s="534"/>
      <c r="T5" s="534"/>
      <c r="U5" s="534"/>
      <c r="V5" s="534"/>
      <c r="W5" s="534"/>
      <c r="X5" s="534"/>
      <c r="Y5" s="534"/>
      <c r="Z5" s="534"/>
      <c r="AA5" s="534"/>
      <c r="AB5" s="534"/>
      <c r="AC5" s="534"/>
      <c r="AD5" s="534"/>
      <c r="AE5" s="534"/>
      <c r="AF5" s="534"/>
      <c r="AG5" s="534"/>
      <c r="AH5" s="534"/>
      <c r="AI5" s="534"/>
      <c r="AJ5" s="534"/>
      <c r="AK5" s="534"/>
      <c r="AL5" s="534"/>
      <c r="AM5" s="534"/>
      <c r="AN5" s="534"/>
      <c r="AO5" s="534"/>
      <c r="AP5" s="534"/>
      <c r="AQ5" s="534"/>
    </row>
    <row r="6" spans="2:45" s="486" customFormat="1" ht="26.45" customHeight="1">
      <c r="B6" s="534" t="s">
        <v>1065</v>
      </c>
      <c r="C6" s="534"/>
      <c r="D6" s="534"/>
      <c r="E6" s="534"/>
      <c r="F6" s="534"/>
      <c r="G6" s="534"/>
      <c r="H6" s="534"/>
      <c r="I6" s="534"/>
      <c r="J6" s="534"/>
      <c r="K6" s="534"/>
      <c r="L6" s="534"/>
      <c r="M6" s="534"/>
      <c r="N6" s="534"/>
      <c r="O6" s="534"/>
      <c r="P6" s="534"/>
      <c r="Q6" s="534"/>
      <c r="R6" s="534"/>
      <c r="S6" s="534"/>
      <c r="T6" s="534"/>
      <c r="U6" s="534"/>
      <c r="V6" s="534"/>
      <c r="W6" s="534"/>
      <c r="X6" s="534"/>
      <c r="Y6" s="534"/>
      <c r="Z6" s="534"/>
      <c r="AA6" s="534"/>
      <c r="AB6" s="534"/>
      <c r="AC6" s="534"/>
      <c r="AD6" s="534"/>
      <c r="AE6" s="534"/>
      <c r="AF6" s="534"/>
      <c r="AG6" s="534"/>
      <c r="AH6" s="534"/>
      <c r="AI6" s="534"/>
      <c r="AJ6" s="534"/>
      <c r="AK6" s="534"/>
      <c r="AL6" s="534"/>
      <c r="AM6" s="534"/>
      <c r="AN6" s="534"/>
      <c r="AO6" s="534"/>
      <c r="AP6" s="534"/>
      <c r="AQ6" s="534"/>
    </row>
    <row r="7" spans="2:45" ht="26.45" customHeight="1">
      <c r="AK7" s="535" t="s">
        <v>581</v>
      </c>
      <c r="AL7" s="535"/>
      <c r="AM7" s="535"/>
      <c r="AN7" s="535"/>
      <c r="AO7" s="535"/>
      <c r="AP7" s="535"/>
      <c r="AQ7" s="535"/>
    </row>
    <row r="8" spans="2:45" ht="33" customHeight="1">
      <c r="B8" s="519" t="s">
        <v>15</v>
      </c>
      <c r="C8" s="519" t="s">
        <v>16</v>
      </c>
      <c r="D8" s="519" t="s">
        <v>1049</v>
      </c>
      <c r="E8" s="513" t="s">
        <v>666</v>
      </c>
      <c r="F8" s="514"/>
      <c r="G8" s="513" t="s">
        <v>649</v>
      </c>
      <c r="H8" s="514"/>
      <c r="I8" s="513" t="s">
        <v>752</v>
      </c>
      <c r="J8" s="514"/>
      <c r="K8" s="513" t="s">
        <v>753</v>
      </c>
      <c r="L8" s="520"/>
      <c r="M8" s="514"/>
      <c r="N8" s="519" t="s">
        <v>1048</v>
      </c>
      <c r="O8" s="519" t="s">
        <v>41</v>
      </c>
      <c r="P8" s="519" t="s">
        <v>42</v>
      </c>
      <c r="Q8" s="519" t="s">
        <v>43</v>
      </c>
      <c r="R8" s="519" t="s">
        <v>44</v>
      </c>
      <c r="S8" s="519" t="s">
        <v>17</v>
      </c>
      <c r="T8" s="519" t="s">
        <v>18</v>
      </c>
      <c r="U8" s="519" t="s">
        <v>94</v>
      </c>
      <c r="V8" s="519" t="s">
        <v>19</v>
      </c>
      <c r="W8" s="519"/>
      <c r="X8" s="519"/>
      <c r="Y8" s="519"/>
      <c r="Z8" s="525" t="s">
        <v>96</v>
      </c>
      <c r="AA8" s="523" t="s">
        <v>592</v>
      </c>
      <c r="AB8" s="433"/>
      <c r="AC8" s="433"/>
      <c r="AD8" s="433"/>
      <c r="AE8" s="433"/>
      <c r="AF8" s="525" t="s">
        <v>97</v>
      </c>
      <c r="AG8" s="529" t="s">
        <v>98</v>
      </c>
      <c r="AH8" s="525" t="s">
        <v>99</v>
      </c>
      <c r="AI8" s="525" t="s">
        <v>721</v>
      </c>
      <c r="AJ8" s="519" t="s">
        <v>584</v>
      </c>
      <c r="AK8" s="525" t="s">
        <v>818</v>
      </c>
      <c r="AL8" s="519" t="s">
        <v>1044</v>
      </c>
      <c r="AM8" s="519"/>
      <c r="AN8" s="519"/>
      <c r="AO8" s="519"/>
      <c r="AP8" s="519"/>
      <c r="AQ8" s="519" t="s">
        <v>21</v>
      </c>
    </row>
    <row r="9" spans="2:45" ht="15" customHeight="1">
      <c r="B9" s="519"/>
      <c r="C9" s="519"/>
      <c r="D9" s="519"/>
      <c r="E9" s="515"/>
      <c r="F9" s="516"/>
      <c r="G9" s="515"/>
      <c r="H9" s="516"/>
      <c r="I9" s="515"/>
      <c r="J9" s="516"/>
      <c r="K9" s="515"/>
      <c r="L9" s="521"/>
      <c r="M9" s="516"/>
      <c r="N9" s="519"/>
      <c r="O9" s="519"/>
      <c r="P9" s="519"/>
      <c r="Q9" s="519"/>
      <c r="R9" s="519"/>
      <c r="S9" s="519"/>
      <c r="T9" s="519"/>
      <c r="U9" s="519"/>
      <c r="V9" s="519" t="s">
        <v>45</v>
      </c>
      <c r="W9" s="519" t="s">
        <v>20</v>
      </c>
      <c r="X9" s="519"/>
      <c r="Y9" s="519"/>
      <c r="Z9" s="525"/>
      <c r="AA9" s="536"/>
      <c r="AB9" s="526" t="s">
        <v>46</v>
      </c>
      <c r="AC9" s="527"/>
      <c r="AD9" s="527"/>
      <c r="AE9" s="528"/>
      <c r="AF9" s="525"/>
      <c r="AG9" s="530"/>
      <c r="AH9" s="525"/>
      <c r="AI9" s="525"/>
      <c r="AJ9" s="519"/>
      <c r="AK9" s="525"/>
      <c r="AL9" s="519" t="s">
        <v>1047</v>
      </c>
      <c r="AM9" s="519" t="s">
        <v>46</v>
      </c>
      <c r="AN9" s="519"/>
      <c r="AO9" s="519"/>
      <c r="AP9" s="519"/>
      <c r="AQ9" s="519"/>
    </row>
    <row r="10" spans="2:45" ht="15" customHeight="1">
      <c r="B10" s="519"/>
      <c r="C10" s="519"/>
      <c r="D10" s="519"/>
      <c r="E10" s="517"/>
      <c r="F10" s="518"/>
      <c r="G10" s="517"/>
      <c r="H10" s="518"/>
      <c r="I10" s="517"/>
      <c r="J10" s="518"/>
      <c r="K10" s="517"/>
      <c r="L10" s="522"/>
      <c r="M10" s="518"/>
      <c r="N10" s="519"/>
      <c r="O10" s="519"/>
      <c r="P10" s="519"/>
      <c r="Q10" s="519"/>
      <c r="R10" s="519"/>
      <c r="S10" s="519"/>
      <c r="T10" s="519"/>
      <c r="U10" s="519"/>
      <c r="V10" s="519"/>
      <c r="W10" s="519" t="s">
        <v>22</v>
      </c>
      <c r="X10" s="519" t="s">
        <v>46</v>
      </c>
      <c r="Y10" s="519"/>
      <c r="Z10" s="525"/>
      <c r="AA10" s="536"/>
      <c r="AB10" s="228"/>
      <c r="AC10" s="228"/>
      <c r="AD10" s="228"/>
      <c r="AE10" s="228"/>
      <c r="AF10" s="525"/>
      <c r="AG10" s="530"/>
      <c r="AH10" s="525"/>
      <c r="AI10" s="525"/>
      <c r="AJ10" s="519"/>
      <c r="AK10" s="525"/>
      <c r="AL10" s="519"/>
      <c r="AM10" s="519" t="s">
        <v>53</v>
      </c>
      <c r="AN10" s="519" t="s">
        <v>24</v>
      </c>
      <c r="AO10" s="519" t="s">
        <v>25</v>
      </c>
      <c r="AP10" s="523" t="s">
        <v>593</v>
      </c>
      <c r="AQ10" s="519"/>
    </row>
    <row r="11" spans="2:45" ht="109.5" customHeight="1">
      <c r="B11" s="519"/>
      <c r="C11" s="519"/>
      <c r="D11" s="519"/>
      <c r="E11" s="74" t="s">
        <v>750</v>
      </c>
      <c r="F11" s="74" t="s">
        <v>751</v>
      </c>
      <c r="G11" s="74" t="s">
        <v>750</v>
      </c>
      <c r="H11" s="74" t="s">
        <v>751</v>
      </c>
      <c r="I11" s="74" t="s">
        <v>750</v>
      </c>
      <c r="J11" s="74" t="s">
        <v>751</v>
      </c>
      <c r="K11" s="74" t="s">
        <v>54</v>
      </c>
      <c r="L11" s="74" t="s">
        <v>93</v>
      </c>
      <c r="M11" s="74" t="s">
        <v>55</v>
      </c>
      <c r="N11" s="519"/>
      <c r="O11" s="519"/>
      <c r="P11" s="519"/>
      <c r="Q11" s="519"/>
      <c r="R11" s="519"/>
      <c r="S11" s="519"/>
      <c r="T11" s="519"/>
      <c r="U11" s="519"/>
      <c r="V11" s="519"/>
      <c r="W11" s="519"/>
      <c r="X11" s="228" t="s">
        <v>95</v>
      </c>
      <c r="Y11" s="74" t="s">
        <v>598</v>
      </c>
      <c r="Z11" s="525"/>
      <c r="AA11" s="524"/>
      <c r="AB11" s="230" t="s">
        <v>1038</v>
      </c>
      <c r="AC11" s="228" t="s">
        <v>24</v>
      </c>
      <c r="AD11" s="228" t="s">
        <v>25</v>
      </c>
      <c r="AE11" s="228" t="s">
        <v>1039</v>
      </c>
      <c r="AF11" s="525"/>
      <c r="AG11" s="531"/>
      <c r="AH11" s="525"/>
      <c r="AI11" s="525"/>
      <c r="AJ11" s="519"/>
      <c r="AK11" s="525"/>
      <c r="AL11" s="519"/>
      <c r="AM11" s="519"/>
      <c r="AN11" s="519"/>
      <c r="AO11" s="519"/>
      <c r="AP11" s="524"/>
      <c r="AQ11" s="519"/>
    </row>
    <row r="12" spans="2:45" s="76" customFormat="1">
      <c r="B12" s="52">
        <v>1</v>
      </c>
      <c r="C12" s="52">
        <v>2</v>
      </c>
      <c r="D12" s="75">
        <v>3</v>
      </c>
      <c r="E12" s="229"/>
      <c r="F12" s="229"/>
      <c r="G12" s="229"/>
      <c r="H12" s="229"/>
      <c r="I12" s="229"/>
      <c r="J12" s="229"/>
      <c r="K12" s="229"/>
      <c r="L12" s="229"/>
      <c r="M12" s="229"/>
      <c r="N12" s="52">
        <v>4</v>
      </c>
      <c r="O12" s="52"/>
      <c r="P12" s="52">
        <v>5</v>
      </c>
      <c r="Q12" s="52"/>
      <c r="R12" s="52"/>
      <c r="S12" s="52">
        <v>6</v>
      </c>
      <c r="T12" s="52">
        <v>7</v>
      </c>
      <c r="U12" s="52"/>
      <c r="V12" s="52">
        <v>8</v>
      </c>
      <c r="W12" s="52">
        <v>9</v>
      </c>
      <c r="X12" s="230"/>
      <c r="Y12" s="52">
        <v>10</v>
      </c>
      <c r="Z12" s="230"/>
      <c r="AA12" s="52">
        <v>11</v>
      </c>
      <c r="AB12" s="230"/>
      <c r="AC12" s="230"/>
      <c r="AD12" s="230"/>
      <c r="AE12" s="230"/>
      <c r="AF12" s="230"/>
      <c r="AG12" s="230"/>
      <c r="AH12" s="230"/>
      <c r="AI12" s="230"/>
      <c r="AJ12" s="52">
        <v>12</v>
      </c>
      <c r="AK12" s="230"/>
      <c r="AL12" s="52">
        <v>13</v>
      </c>
      <c r="AM12" s="52">
        <v>14</v>
      </c>
      <c r="AN12" s="52">
        <v>15</v>
      </c>
      <c r="AO12" s="52">
        <v>16</v>
      </c>
      <c r="AP12" s="52">
        <v>17</v>
      </c>
      <c r="AQ12" s="52">
        <v>18</v>
      </c>
    </row>
    <row r="13" spans="2:45" s="76" customFormat="1" ht="24.75" hidden="1" customHeight="1">
      <c r="B13" s="363"/>
      <c r="C13" s="363" t="s">
        <v>68</v>
      </c>
      <c r="D13" s="434"/>
      <c r="E13" s="364"/>
      <c r="F13" s="364"/>
      <c r="G13" s="364"/>
      <c r="H13" s="364"/>
      <c r="I13" s="364"/>
      <c r="J13" s="364"/>
      <c r="K13" s="364"/>
      <c r="L13" s="364"/>
      <c r="M13" s="365"/>
      <c r="N13" s="363"/>
      <c r="O13" s="363"/>
      <c r="P13" s="363"/>
      <c r="Q13" s="363"/>
      <c r="R13" s="363"/>
      <c r="S13" s="363"/>
      <c r="T13" s="363"/>
      <c r="U13" s="363"/>
      <c r="V13" s="363"/>
      <c r="W13" s="364"/>
      <c r="X13" s="366"/>
      <c r="Y13" s="364"/>
      <c r="Z13" s="366"/>
      <c r="AA13" s="364"/>
      <c r="AB13" s="366"/>
      <c r="AC13" s="366"/>
      <c r="AD13" s="366"/>
      <c r="AE13" s="366"/>
      <c r="AF13" s="366"/>
      <c r="AG13" s="366"/>
      <c r="AH13" s="366"/>
      <c r="AI13" s="366"/>
      <c r="AJ13" s="364"/>
      <c r="AK13" s="366"/>
      <c r="AL13" s="364" t="e">
        <f>AL14-AL15</f>
        <v>#REF!</v>
      </c>
      <c r="AM13" s="364" t="e">
        <f t="shared" ref="AM13:AP13" si="0">AM14-AM15</f>
        <v>#REF!</v>
      </c>
      <c r="AN13" s="364" t="e">
        <f t="shared" si="0"/>
        <v>#REF!</v>
      </c>
      <c r="AO13" s="364">
        <f t="shared" si="0"/>
        <v>0</v>
      </c>
      <c r="AP13" s="364">
        <f t="shared" si="0"/>
        <v>0</v>
      </c>
      <c r="AQ13" s="364"/>
      <c r="AR13" s="48" t="e">
        <f t="shared" ref="AR13:AR18" si="1">AA13-(AF13+AI13+AL13)</f>
        <v>#REF!</v>
      </c>
    </row>
    <row r="14" spans="2:45" ht="19.5" hidden="1" customHeight="1">
      <c r="B14" s="77"/>
      <c r="C14" s="77" t="s">
        <v>67</v>
      </c>
      <c r="D14" s="93"/>
      <c r="E14" s="47"/>
      <c r="F14" s="47"/>
      <c r="G14" s="47"/>
      <c r="H14" s="47"/>
      <c r="I14" s="47"/>
      <c r="J14" s="47"/>
      <c r="K14" s="47"/>
      <c r="L14" s="47"/>
      <c r="M14" s="88"/>
      <c r="N14" s="77"/>
      <c r="O14" s="77"/>
      <c r="P14" s="77"/>
      <c r="Q14" s="77"/>
      <c r="R14" s="77"/>
      <c r="S14" s="39"/>
      <c r="T14" s="77"/>
      <c r="U14" s="77"/>
      <c r="V14" s="77"/>
      <c r="W14" s="53"/>
      <c r="X14" s="231"/>
      <c r="Y14" s="53"/>
      <c r="Z14" s="231"/>
      <c r="AA14" s="53"/>
      <c r="AB14" s="231"/>
      <c r="AC14" s="231"/>
      <c r="AD14" s="231"/>
      <c r="AE14" s="231"/>
      <c r="AF14" s="231"/>
      <c r="AG14" s="231"/>
      <c r="AH14" s="231"/>
      <c r="AI14" s="231"/>
      <c r="AJ14" s="53"/>
      <c r="AK14" s="231"/>
      <c r="AL14" s="53" t="e">
        <f>AM14+AN14+AO14+AP14</f>
        <v>#REF!</v>
      </c>
      <c r="AM14" s="53" t="e">
        <f>#REF!</f>
        <v>#REF!</v>
      </c>
      <c r="AN14" s="53" t="e">
        <f>#REF!</f>
        <v>#REF!</v>
      </c>
      <c r="AO14" s="53">
        <f>'PL1-TH'!C21+'PL1-TH'!C22</f>
        <v>1247471</v>
      </c>
      <c r="AP14" s="53">
        <f>'PL1-TH'!C25</f>
        <v>1170500</v>
      </c>
      <c r="AQ14" s="53"/>
      <c r="AR14" s="48" t="e">
        <f t="shared" si="1"/>
        <v>#REF!</v>
      </c>
    </row>
    <row r="15" spans="2:45" s="82" customFormat="1" ht="23.25" customHeight="1">
      <c r="B15" s="79"/>
      <c r="C15" s="79" t="s">
        <v>2</v>
      </c>
      <c r="D15" s="435">
        <f t="shared" ref="D15:M15" si="2">D17+D18+D16</f>
        <v>238</v>
      </c>
      <c r="E15" s="430">
        <f t="shared" si="2"/>
        <v>51</v>
      </c>
      <c r="F15" s="430">
        <f t="shared" si="2"/>
        <v>1589390</v>
      </c>
      <c r="G15" s="430">
        <f t="shared" si="2"/>
        <v>90</v>
      </c>
      <c r="H15" s="430">
        <f t="shared" si="2"/>
        <v>981110</v>
      </c>
      <c r="I15" s="430">
        <f t="shared" si="2"/>
        <v>97</v>
      </c>
      <c r="J15" s="430">
        <f t="shared" si="2"/>
        <v>1934471</v>
      </c>
      <c r="K15" s="430" t="e">
        <f t="shared" si="2"/>
        <v>#REF!</v>
      </c>
      <c r="L15" s="430" t="e">
        <f t="shared" si="2"/>
        <v>#REF!</v>
      </c>
      <c r="M15" s="430" t="e">
        <f t="shared" si="2"/>
        <v>#REF!</v>
      </c>
      <c r="N15" s="79"/>
      <c r="O15" s="79"/>
      <c r="P15" s="79"/>
      <c r="Q15" s="79"/>
      <c r="R15" s="79"/>
      <c r="S15" s="80"/>
      <c r="T15" s="79"/>
      <c r="U15" s="79"/>
      <c r="V15" s="79"/>
      <c r="W15" s="430">
        <f t="shared" ref="W15:AF15" si="3">W17+W18+W16</f>
        <v>20692809.015000001</v>
      </c>
      <c r="X15" s="430"/>
      <c r="Y15" s="430">
        <f t="shared" si="3"/>
        <v>16533267.392000001</v>
      </c>
      <c r="Z15" s="430" t="e">
        <f t="shared" si="3"/>
        <v>#REF!</v>
      </c>
      <c r="AA15" s="430">
        <f t="shared" si="3"/>
        <v>12329523</v>
      </c>
      <c r="AB15" s="431" t="e">
        <f t="shared" si="3"/>
        <v>#REF!</v>
      </c>
      <c r="AC15" s="431" t="e">
        <f t="shared" si="3"/>
        <v>#REF!</v>
      </c>
      <c r="AD15" s="431" t="e">
        <f t="shared" si="3"/>
        <v>#REF!</v>
      </c>
      <c r="AE15" s="431" t="e">
        <f t="shared" si="3"/>
        <v>#REF!</v>
      </c>
      <c r="AF15" s="431">
        <f t="shared" si="3"/>
        <v>1310965.224321</v>
      </c>
      <c r="AG15" s="431" t="e">
        <f t="shared" ref="AG15:AH15" si="4">AG17+AG18</f>
        <v>#REF!</v>
      </c>
      <c r="AH15" s="431" t="e">
        <f t="shared" si="4"/>
        <v>#REF!</v>
      </c>
      <c r="AI15" s="431">
        <f t="shared" ref="AI15:AJ15" si="5">AI17+AI18+AI16</f>
        <v>3125260.918505</v>
      </c>
      <c r="AJ15" s="430">
        <f t="shared" si="5"/>
        <v>4436346.1428260002</v>
      </c>
      <c r="AK15" s="431">
        <f>AK17+AK18+AK16</f>
        <v>5401792</v>
      </c>
      <c r="AL15" s="430">
        <f>AL17+AL18+AL16</f>
        <v>4557971</v>
      </c>
      <c r="AM15" s="430">
        <f>AM17+AM18+AM16</f>
        <v>540000</v>
      </c>
      <c r="AN15" s="430">
        <f t="shared" ref="AN15:AP15" si="6">AN17+AN18+AN16</f>
        <v>1600000</v>
      </c>
      <c r="AO15" s="430">
        <f t="shared" si="6"/>
        <v>1247471</v>
      </c>
      <c r="AP15" s="430">
        <f t="shared" si="6"/>
        <v>1170500</v>
      </c>
      <c r="AQ15" s="432"/>
      <c r="AR15" s="48">
        <f t="shared" si="1"/>
        <v>3335325.8571739998</v>
      </c>
      <c r="AS15" s="81">
        <f>AL15-(AM15+AN15+AO15)</f>
        <v>1170500</v>
      </c>
    </row>
    <row r="16" spans="2:45" s="72" customFormat="1" ht="21.6" customHeight="1">
      <c r="B16" s="36" t="s">
        <v>3</v>
      </c>
      <c r="C16" s="367" t="s">
        <v>842</v>
      </c>
      <c r="D16" s="247">
        <f t="shared" ref="D16:AP16" si="7">D46</f>
        <v>0</v>
      </c>
      <c r="E16" s="43">
        <f t="shared" si="7"/>
        <v>0</v>
      </c>
      <c r="F16" s="43">
        <f t="shared" si="7"/>
        <v>0</v>
      </c>
      <c r="G16" s="43">
        <f t="shared" si="7"/>
        <v>0</v>
      </c>
      <c r="H16" s="43">
        <f t="shared" si="7"/>
        <v>0</v>
      </c>
      <c r="I16" s="43">
        <f t="shared" si="7"/>
        <v>0</v>
      </c>
      <c r="J16" s="43">
        <f t="shared" si="7"/>
        <v>0</v>
      </c>
      <c r="K16" s="43">
        <f t="shared" si="7"/>
        <v>0</v>
      </c>
      <c r="L16" s="43">
        <f t="shared" si="7"/>
        <v>0</v>
      </c>
      <c r="M16" s="43">
        <f t="shared" si="7"/>
        <v>0</v>
      </c>
      <c r="N16" s="43">
        <f t="shared" si="7"/>
        <v>0</v>
      </c>
      <c r="O16" s="43">
        <f t="shared" si="7"/>
        <v>0</v>
      </c>
      <c r="P16" s="43">
        <f t="shared" si="7"/>
        <v>0</v>
      </c>
      <c r="Q16" s="43">
        <f t="shared" si="7"/>
        <v>0</v>
      </c>
      <c r="R16" s="43">
        <f t="shared" si="7"/>
        <v>0</v>
      </c>
      <c r="S16" s="43">
        <f t="shared" si="7"/>
        <v>0</v>
      </c>
      <c r="T16" s="43">
        <f t="shared" si="7"/>
        <v>0</v>
      </c>
      <c r="U16" s="43">
        <f t="shared" si="7"/>
        <v>0</v>
      </c>
      <c r="V16" s="43">
        <f t="shared" si="7"/>
        <v>0</v>
      </c>
      <c r="W16" s="43">
        <f t="shared" si="7"/>
        <v>62372</v>
      </c>
      <c r="X16" s="43">
        <f t="shared" si="7"/>
        <v>0</v>
      </c>
      <c r="Y16" s="43">
        <f t="shared" si="7"/>
        <v>56000</v>
      </c>
      <c r="Z16" s="43">
        <f t="shared" si="7"/>
        <v>0</v>
      </c>
      <c r="AA16" s="43">
        <f t="shared" si="7"/>
        <v>56000</v>
      </c>
      <c r="AB16" s="235">
        <f t="shared" si="7"/>
        <v>56000</v>
      </c>
      <c r="AC16" s="235">
        <f t="shared" si="7"/>
        <v>0</v>
      </c>
      <c r="AD16" s="235">
        <f t="shared" si="7"/>
        <v>0</v>
      </c>
      <c r="AE16" s="235">
        <f t="shared" si="7"/>
        <v>0</v>
      </c>
      <c r="AF16" s="235">
        <f t="shared" si="7"/>
        <v>7723</v>
      </c>
      <c r="AG16" s="235">
        <f t="shared" si="7"/>
        <v>0</v>
      </c>
      <c r="AH16" s="235">
        <f t="shared" si="7"/>
        <v>0</v>
      </c>
      <c r="AI16" s="235">
        <f t="shared" si="7"/>
        <v>29526</v>
      </c>
      <c r="AJ16" s="43">
        <f t="shared" si="7"/>
        <v>37249</v>
      </c>
      <c r="AK16" s="235">
        <f t="shared" si="7"/>
        <v>13000</v>
      </c>
      <c r="AL16" s="43">
        <f t="shared" si="7"/>
        <v>13000</v>
      </c>
      <c r="AM16" s="43">
        <f t="shared" si="7"/>
        <v>13000</v>
      </c>
      <c r="AN16" s="43">
        <f t="shared" si="7"/>
        <v>0</v>
      </c>
      <c r="AO16" s="43">
        <f t="shared" si="7"/>
        <v>0</v>
      </c>
      <c r="AP16" s="43">
        <f t="shared" si="7"/>
        <v>0</v>
      </c>
      <c r="AQ16" s="43"/>
      <c r="AR16" s="48">
        <f t="shared" si="1"/>
        <v>5751</v>
      </c>
      <c r="AS16" s="81">
        <f>AL16-(AM16+AN16+AO16)</f>
        <v>0</v>
      </c>
    </row>
    <row r="17" spans="2:45" s="72" customFormat="1" ht="61.5" customHeight="1">
      <c r="B17" s="36" t="s">
        <v>13</v>
      </c>
      <c r="C17" s="367" t="s">
        <v>573</v>
      </c>
      <c r="D17" s="436"/>
      <c r="E17" s="54"/>
      <c r="F17" s="54"/>
      <c r="G17" s="54"/>
      <c r="H17" s="54"/>
      <c r="I17" s="54"/>
      <c r="J17" s="54"/>
      <c r="K17" s="54"/>
      <c r="L17" s="54"/>
      <c r="M17" s="83"/>
      <c r="N17" s="83"/>
      <c r="O17" s="83"/>
      <c r="P17" s="83"/>
      <c r="Q17" s="83"/>
      <c r="R17" s="83"/>
      <c r="S17" s="83"/>
      <c r="T17" s="83"/>
      <c r="U17" s="83"/>
      <c r="V17" s="83"/>
      <c r="W17" s="54">
        <f t="shared" ref="W17:AP17" si="8">W48</f>
        <v>212642</v>
      </c>
      <c r="X17" s="214">
        <f t="shared" si="8"/>
        <v>0</v>
      </c>
      <c r="Y17" s="54">
        <f t="shared" si="8"/>
        <v>212642</v>
      </c>
      <c r="Z17" s="214">
        <f t="shared" si="8"/>
        <v>0</v>
      </c>
      <c r="AA17" s="54">
        <f t="shared" si="8"/>
        <v>212642</v>
      </c>
      <c r="AB17" s="214">
        <f t="shared" si="8"/>
        <v>100000</v>
      </c>
      <c r="AC17" s="214">
        <f t="shared" si="8"/>
        <v>100000</v>
      </c>
      <c r="AD17" s="214">
        <f t="shared" si="8"/>
        <v>0</v>
      </c>
      <c r="AE17" s="214">
        <f t="shared" si="8"/>
        <v>0</v>
      </c>
      <c r="AF17" s="214">
        <f t="shared" si="8"/>
        <v>69038</v>
      </c>
      <c r="AG17" s="214">
        <f t="shared" si="8"/>
        <v>40811</v>
      </c>
      <c r="AH17" s="214">
        <f t="shared" si="8"/>
        <v>0</v>
      </c>
      <c r="AI17" s="214">
        <f t="shared" si="8"/>
        <v>54144</v>
      </c>
      <c r="AJ17" s="54">
        <f t="shared" ref="AJ17" si="9">AJ48</f>
        <v>123182</v>
      </c>
      <c r="AK17" s="214">
        <f t="shared" si="8"/>
        <v>40000</v>
      </c>
      <c r="AL17" s="54">
        <f t="shared" si="8"/>
        <v>40000</v>
      </c>
      <c r="AM17" s="54">
        <f t="shared" si="8"/>
        <v>20000</v>
      </c>
      <c r="AN17" s="54">
        <f t="shared" si="8"/>
        <v>20000</v>
      </c>
      <c r="AO17" s="54"/>
      <c r="AP17" s="54">
        <f t="shared" si="8"/>
        <v>0</v>
      </c>
      <c r="AQ17" s="43"/>
      <c r="AR17" s="48">
        <f t="shared" si="1"/>
        <v>49460</v>
      </c>
      <c r="AS17" s="81">
        <f>AL17-(AM17+AN17+AO17)</f>
        <v>0</v>
      </c>
    </row>
    <row r="18" spans="2:45" s="72" customFormat="1" ht="28.5" customHeight="1">
      <c r="B18" s="36" t="s">
        <v>26</v>
      </c>
      <c r="C18" s="340" t="s">
        <v>27</v>
      </c>
      <c r="D18" s="436">
        <f t="shared" ref="D18:M18" si="10">D25+D26+D27+D28+D29+D30+D31+D32+D36+D37+D38+D39+D40+D41+D42+D34</f>
        <v>238</v>
      </c>
      <c r="E18" s="54">
        <f t="shared" si="10"/>
        <v>51</v>
      </c>
      <c r="F18" s="54">
        <f t="shared" si="10"/>
        <v>1589390</v>
      </c>
      <c r="G18" s="54">
        <f t="shared" si="10"/>
        <v>90</v>
      </c>
      <c r="H18" s="54">
        <f t="shared" si="10"/>
        <v>981110</v>
      </c>
      <c r="I18" s="54">
        <f t="shared" si="10"/>
        <v>97</v>
      </c>
      <c r="J18" s="54">
        <f t="shared" si="10"/>
        <v>1934471</v>
      </c>
      <c r="K18" s="54" t="e">
        <f t="shared" si="10"/>
        <v>#REF!</v>
      </c>
      <c r="L18" s="54" t="e">
        <f t="shared" si="10"/>
        <v>#REF!</v>
      </c>
      <c r="M18" s="54" t="e">
        <f t="shared" si="10"/>
        <v>#REF!</v>
      </c>
      <c r="N18" s="83"/>
      <c r="O18" s="83"/>
      <c r="P18" s="83"/>
      <c r="Q18" s="83"/>
      <c r="R18" s="83"/>
      <c r="S18" s="83"/>
      <c r="T18" s="83"/>
      <c r="U18" s="83"/>
      <c r="V18" s="83"/>
      <c r="W18" s="54">
        <f>W25+W26+W27+W28+W29+W30+W31+W32+W36+W37+W38+W39+W40+W41+W42+W34</f>
        <v>20417795.015000001</v>
      </c>
      <c r="X18" s="214" t="e">
        <f t="shared" ref="X18:AP18" si="11">X25+X26+X27+X28+X29+X30+X31+X32+X36+X37+X38+X39+X40+X41+X42+X34</f>
        <v>#REF!</v>
      </c>
      <c r="Y18" s="54">
        <f t="shared" si="11"/>
        <v>16264625.392000001</v>
      </c>
      <c r="Z18" s="214" t="e">
        <f t="shared" si="11"/>
        <v>#REF!</v>
      </c>
      <c r="AA18" s="54">
        <f t="shared" si="11"/>
        <v>12060881</v>
      </c>
      <c r="AB18" s="214" t="e">
        <f t="shared" si="11"/>
        <v>#REF!</v>
      </c>
      <c r="AC18" s="214" t="e">
        <f t="shared" si="11"/>
        <v>#REF!</v>
      </c>
      <c r="AD18" s="214" t="e">
        <f t="shared" si="11"/>
        <v>#REF!</v>
      </c>
      <c r="AE18" s="214" t="e">
        <f t="shared" si="11"/>
        <v>#REF!</v>
      </c>
      <c r="AF18" s="214">
        <f t="shared" si="11"/>
        <v>1234204.224321</v>
      </c>
      <c r="AG18" s="214" t="e">
        <f t="shared" si="11"/>
        <v>#REF!</v>
      </c>
      <c r="AH18" s="214" t="e">
        <f t="shared" si="11"/>
        <v>#REF!</v>
      </c>
      <c r="AI18" s="214">
        <f t="shared" si="11"/>
        <v>3041590.918505</v>
      </c>
      <c r="AJ18" s="54">
        <f t="shared" si="11"/>
        <v>4275915.1428260002</v>
      </c>
      <c r="AK18" s="214">
        <f t="shared" si="11"/>
        <v>5348792</v>
      </c>
      <c r="AL18" s="54">
        <f>AL25+AL26+AL27+AL28+AL29+AL30+AL31+AL32+AL36+AL37+AL38+AL39+AL40+AL41+AL42+AL34</f>
        <v>4504971</v>
      </c>
      <c r="AM18" s="54">
        <f>AM25+AM26+AM27+AM28+AM29+AM30+AM31+AM32+AM36+AM37+AM38+AM39+AM40+AM41+AM42+AM34</f>
        <v>507000</v>
      </c>
      <c r="AN18" s="54">
        <f t="shared" si="11"/>
        <v>1580000</v>
      </c>
      <c r="AO18" s="54">
        <f>AO25+AO26+AO27+AO28+AO29+AO30+AO31+AO32+AO36+AO37+AO38+AO39+AO40+AO41+AO42+AO34</f>
        <v>1247471</v>
      </c>
      <c r="AP18" s="54">
        <f t="shared" si="11"/>
        <v>1170500</v>
      </c>
      <c r="AQ18" s="43"/>
      <c r="AR18" s="48">
        <f t="shared" si="1"/>
        <v>3280114.8571739998</v>
      </c>
      <c r="AS18" s="81">
        <f>AL18-(AM18+AN18+AO18)</f>
        <v>1170500</v>
      </c>
    </row>
    <row r="19" spans="2:45" s="72" customFormat="1" ht="18" hidden="1" customHeight="1">
      <c r="B19" s="36"/>
      <c r="C19" s="341"/>
      <c r="D19" s="247"/>
      <c r="E19" s="43"/>
      <c r="F19" s="43"/>
      <c r="G19" s="43"/>
      <c r="H19" s="43"/>
      <c r="I19" s="43"/>
      <c r="J19" s="43"/>
      <c r="K19" s="43"/>
      <c r="L19" s="43"/>
      <c r="M19" s="43"/>
      <c r="N19" s="43"/>
      <c r="O19" s="80"/>
      <c r="P19" s="80"/>
      <c r="Q19" s="80"/>
      <c r="R19" s="80"/>
      <c r="S19" s="80"/>
      <c r="T19" s="80"/>
      <c r="U19" s="80"/>
      <c r="V19" s="80"/>
      <c r="W19" s="55"/>
      <c r="X19" s="55"/>
      <c r="Y19" s="55"/>
      <c r="Z19" s="55"/>
      <c r="AA19" s="55"/>
      <c r="AB19" s="215"/>
      <c r="AC19" s="215"/>
      <c r="AD19" s="215"/>
      <c r="AE19" s="215"/>
      <c r="AF19" s="215"/>
      <c r="AG19" s="215"/>
      <c r="AH19" s="215"/>
      <c r="AI19" s="215"/>
      <c r="AJ19" s="55"/>
      <c r="AK19" s="215"/>
      <c r="AL19" s="55"/>
      <c r="AM19" s="55"/>
      <c r="AN19" s="55"/>
      <c r="AO19" s="55"/>
      <c r="AP19" s="55"/>
      <c r="AQ19" s="55"/>
      <c r="AR19" s="48"/>
      <c r="AS19" s="81"/>
    </row>
    <row r="20" spans="2:45" s="50" customFormat="1" ht="33.6" hidden="1" customHeight="1">
      <c r="B20" s="39"/>
      <c r="C20" s="102"/>
      <c r="D20" s="93"/>
      <c r="E20" s="47"/>
      <c r="F20" s="47"/>
      <c r="G20" s="47"/>
      <c r="H20" s="47"/>
      <c r="I20" s="47"/>
      <c r="J20" s="47"/>
      <c r="K20" s="47"/>
      <c r="L20" s="47"/>
      <c r="M20" s="47"/>
      <c r="N20" s="39"/>
      <c r="O20" s="39"/>
      <c r="P20" s="39"/>
      <c r="Q20" s="39"/>
      <c r="R20" s="39"/>
      <c r="S20" s="39"/>
      <c r="T20" s="39"/>
      <c r="U20" s="39"/>
      <c r="V20" s="39"/>
      <c r="W20" s="47"/>
      <c r="X20" s="47"/>
      <c r="Y20" s="47"/>
      <c r="Z20" s="47"/>
      <c r="AA20" s="47"/>
      <c r="AB20" s="120"/>
      <c r="AC20" s="120"/>
      <c r="AD20" s="120"/>
      <c r="AE20" s="120"/>
      <c r="AF20" s="120"/>
      <c r="AG20" s="120"/>
      <c r="AH20" s="120"/>
      <c r="AI20" s="120"/>
      <c r="AJ20" s="47"/>
      <c r="AK20" s="120"/>
      <c r="AL20" s="47"/>
      <c r="AM20" s="47"/>
      <c r="AN20" s="47"/>
      <c r="AO20" s="47"/>
      <c r="AP20" s="47"/>
      <c r="AQ20" s="55"/>
      <c r="AR20" s="48"/>
      <c r="AS20" s="232"/>
    </row>
    <row r="21" spans="2:45" s="50" customFormat="1" ht="33" hidden="1" customHeight="1">
      <c r="B21" s="39"/>
      <c r="C21" s="102"/>
      <c r="D21" s="93"/>
      <c r="E21" s="47"/>
      <c r="F21" s="47"/>
      <c r="G21" s="47"/>
      <c r="H21" s="47"/>
      <c r="I21" s="47"/>
      <c r="J21" s="47"/>
      <c r="K21" s="47"/>
      <c r="L21" s="47"/>
      <c r="M21" s="47"/>
      <c r="N21" s="39"/>
      <c r="O21" s="39"/>
      <c r="P21" s="39"/>
      <c r="Q21" s="39"/>
      <c r="R21" s="39"/>
      <c r="S21" s="39"/>
      <c r="T21" s="39"/>
      <c r="U21" s="39"/>
      <c r="V21" s="39"/>
      <c r="W21" s="47"/>
      <c r="X21" s="47"/>
      <c r="Y21" s="47"/>
      <c r="Z21" s="47"/>
      <c r="AA21" s="47"/>
      <c r="AB21" s="120"/>
      <c r="AC21" s="120"/>
      <c r="AD21" s="120"/>
      <c r="AE21" s="120"/>
      <c r="AF21" s="120"/>
      <c r="AG21" s="120"/>
      <c r="AH21" s="120"/>
      <c r="AI21" s="120"/>
      <c r="AJ21" s="47"/>
      <c r="AK21" s="120"/>
      <c r="AL21" s="47"/>
      <c r="AM21" s="47"/>
      <c r="AN21" s="47"/>
      <c r="AO21" s="47"/>
      <c r="AP21" s="47"/>
      <c r="AQ21" s="47"/>
      <c r="AR21" s="48"/>
      <c r="AS21" s="232"/>
    </row>
    <row r="22" spans="2:45" s="50" customFormat="1" hidden="1">
      <c r="B22" s="39"/>
      <c r="C22" s="102"/>
      <c r="D22" s="93"/>
      <c r="E22" s="47"/>
      <c r="F22" s="47"/>
      <c r="G22" s="47"/>
      <c r="H22" s="47"/>
      <c r="I22" s="47"/>
      <c r="J22" s="47"/>
      <c r="K22" s="47"/>
      <c r="L22" s="47"/>
      <c r="M22" s="47"/>
      <c r="N22" s="39"/>
      <c r="O22" s="39"/>
      <c r="P22" s="39"/>
      <c r="Q22" s="39"/>
      <c r="R22" s="39"/>
      <c r="S22" s="39"/>
      <c r="T22" s="39"/>
      <c r="U22" s="39"/>
      <c r="V22" s="39"/>
      <c r="W22" s="47"/>
      <c r="X22" s="47"/>
      <c r="Y22" s="47"/>
      <c r="Z22" s="47"/>
      <c r="AA22" s="47"/>
      <c r="AB22" s="120"/>
      <c r="AC22" s="120"/>
      <c r="AD22" s="120"/>
      <c r="AE22" s="120"/>
      <c r="AF22" s="120"/>
      <c r="AG22" s="120"/>
      <c r="AH22" s="120"/>
      <c r="AI22" s="120"/>
      <c r="AJ22" s="47"/>
      <c r="AK22" s="120"/>
      <c r="AL22" s="47"/>
      <c r="AM22" s="47"/>
      <c r="AN22" s="47"/>
      <c r="AO22" s="47"/>
      <c r="AP22" s="47"/>
      <c r="AQ22" s="47"/>
      <c r="AR22" s="48"/>
      <c r="AS22" s="232"/>
    </row>
    <row r="23" spans="2:45" s="72" customFormat="1" hidden="1">
      <c r="B23" s="36"/>
      <c r="C23" s="340"/>
      <c r="D23" s="436"/>
      <c r="E23" s="54"/>
      <c r="F23" s="54"/>
      <c r="G23" s="54"/>
      <c r="H23" s="54"/>
      <c r="I23" s="54"/>
      <c r="J23" s="54"/>
      <c r="K23" s="54"/>
      <c r="L23" s="54"/>
      <c r="M23" s="54"/>
      <c r="N23" s="83"/>
      <c r="O23" s="83"/>
      <c r="P23" s="83"/>
      <c r="Q23" s="83"/>
      <c r="R23" s="83"/>
      <c r="S23" s="83"/>
      <c r="T23" s="83"/>
      <c r="U23" s="83"/>
      <c r="V23" s="83"/>
      <c r="W23" s="54"/>
      <c r="X23" s="214"/>
      <c r="Y23" s="54"/>
      <c r="Z23" s="214"/>
      <c r="AA23" s="54"/>
      <c r="AB23" s="214"/>
      <c r="AC23" s="214"/>
      <c r="AD23" s="214"/>
      <c r="AE23" s="214"/>
      <c r="AF23" s="214"/>
      <c r="AG23" s="214"/>
      <c r="AH23" s="214"/>
      <c r="AI23" s="214"/>
      <c r="AJ23" s="54"/>
      <c r="AK23" s="214"/>
      <c r="AL23" s="54"/>
      <c r="AM23" s="54"/>
      <c r="AN23" s="54"/>
      <c r="AO23" s="54"/>
      <c r="AP23" s="54"/>
      <c r="AQ23" s="43"/>
      <c r="AR23" s="48"/>
      <c r="AS23" s="81"/>
    </row>
    <row r="24" spans="2:45" s="72" customFormat="1" ht="33.6" customHeight="1">
      <c r="B24" s="36" t="s">
        <v>1041</v>
      </c>
      <c r="C24" s="341" t="s">
        <v>847</v>
      </c>
      <c r="D24" s="436"/>
      <c r="E24" s="54"/>
      <c r="F24" s="54"/>
      <c r="G24" s="54"/>
      <c r="H24" s="54"/>
      <c r="I24" s="54"/>
      <c r="J24" s="54"/>
      <c r="K24" s="54"/>
      <c r="L24" s="54"/>
      <c r="M24" s="54"/>
      <c r="N24" s="80"/>
      <c r="O24" s="80"/>
      <c r="P24" s="80"/>
      <c r="Q24" s="80"/>
      <c r="R24" s="80"/>
      <c r="S24" s="80"/>
      <c r="T24" s="80"/>
      <c r="U24" s="80"/>
      <c r="V24" s="80"/>
      <c r="W24" s="54"/>
      <c r="X24" s="214"/>
      <c r="Y24" s="54"/>
      <c r="Z24" s="214"/>
      <c r="AA24" s="54"/>
      <c r="AB24" s="214"/>
      <c r="AC24" s="214"/>
      <c r="AD24" s="214"/>
      <c r="AE24" s="214"/>
      <c r="AF24" s="214"/>
      <c r="AG24" s="214"/>
      <c r="AH24" s="214"/>
      <c r="AI24" s="214"/>
      <c r="AJ24" s="54"/>
      <c r="AK24" s="214"/>
      <c r="AL24" s="54"/>
      <c r="AM24" s="54"/>
      <c r="AN24" s="54"/>
      <c r="AO24" s="54"/>
      <c r="AP24" s="54"/>
      <c r="AQ24" s="43"/>
      <c r="AR24" s="48">
        <f t="shared" ref="AR24:AR32" si="12">AA24-(AF24+AI24+AL24)</f>
        <v>0</v>
      </c>
      <c r="AS24" s="81">
        <f t="shared" ref="AS24:AS32" si="13">AL24-(AM24+AN24+AO24)</f>
        <v>0</v>
      </c>
    </row>
    <row r="25" spans="2:45" s="50" customFormat="1" ht="21" customHeight="1">
      <c r="B25" s="39">
        <v>1</v>
      </c>
      <c r="C25" s="110" t="s">
        <v>57</v>
      </c>
      <c r="D25" s="437">
        <f t="shared" ref="D25:M25" si="14">D60</f>
        <v>5</v>
      </c>
      <c r="E25" s="44">
        <f t="shared" si="14"/>
        <v>0</v>
      </c>
      <c r="F25" s="44">
        <f t="shared" si="14"/>
        <v>0</v>
      </c>
      <c r="G25" s="44">
        <f t="shared" si="14"/>
        <v>3</v>
      </c>
      <c r="H25" s="44">
        <f t="shared" si="14"/>
        <v>17700</v>
      </c>
      <c r="I25" s="44">
        <f t="shared" si="14"/>
        <v>2</v>
      </c>
      <c r="J25" s="44">
        <f t="shared" si="14"/>
        <v>32200</v>
      </c>
      <c r="K25" s="44">
        <f t="shared" si="14"/>
        <v>0</v>
      </c>
      <c r="L25" s="44">
        <f t="shared" si="14"/>
        <v>5</v>
      </c>
      <c r="M25" s="44">
        <f t="shared" si="14"/>
        <v>0</v>
      </c>
      <c r="N25" s="84"/>
      <c r="O25" s="84"/>
      <c r="P25" s="84"/>
      <c r="Q25" s="84"/>
      <c r="R25" s="84"/>
      <c r="S25" s="84"/>
      <c r="T25" s="84"/>
      <c r="U25" s="84"/>
      <c r="V25" s="84"/>
      <c r="W25" s="44">
        <f t="shared" ref="W25:AP25" si="15">W60</f>
        <v>294821</v>
      </c>
      <c r="X25" s="213">
        <f t="shared" si="15"/>
        <v>168790</v>
      </c>
      <c r="Y25" s="44">
        <f t="shared" si="15"/>
        <v>284219</v>
      </c>
      <c r="Z25" s="213">
        <f t="shared" si="15"/>
        <v>0</v>
      </c>
      <c r="AA25" s="44">
        <f t="shared" si="15"/>
        <v>189400</v>
      </c>
      <c r="AB25" s="213">
        <f t="shared" si="15"/>
        <v>113400</v>
      </c>
      <c r="AC25" s="213">
        <f t="shared" si="15"/>
        <v>0</v>
      </c>
      <c r="AD25" s="213">
        <f t="shared" si="15"/>
        <v>76000</v>
      </c>
      <c r="AE25" s="213">
        <f t="shared" si="15"/>
        <v>0</v>
      </c>
      <c r="AF25" s="213">
        <f t="shared" si="15"/>
        <v>43324.805</v>
      </c>
      <c r="AG25" s="213">
        <f t="shared" si="15"/>
        <v>74437.358000000007</v>
      </c>
      <c r="AH25" s="213">
        <f t="shared" si="15"/>
        <v>7946.7330000000002</v>
      </c>
      <c r="AI25" s="213">
        <f t="shared" si="15"/>
        <v>79975.358000000007</v>
      </c>
      <c r="AJ25" s="44">
        <f t="shared" ref="AJ25" si="16">AJ60</f>
        <v>123300.163</v>
      </c>
      <c r="AK25" s="213">
        <f t="shared" si="15"/>
        <v>52100</v>
      </c>
      <c r="AL25" s="44">
        <f t="shared" si="15"/>
        <v>49900</v>
      </c>
      <c r="AM25" s="44">
        <f t="shared" si="15"/>
        <v>28900</v>
      </c>
      <c r="AN25" s="44"/>
      <c r="AO25" s="44">
        <f t="shared" si="15"/>
        <v>21000</v>
      </c>
      <c r="AP25" s="44">
        <f t="shared" si="15"/>
        <v>0</v>
      </c>
      <c r="AQ25" s="47"/>
      <c r="AR25" s="48">
        <f t="shared" si="12"/>
        <v>16199.837</v>
      </c>
      <c r="AS25" s="81">
        <f t="shared" si="13"/>
        <v>0</v>
      </c>
    </row>
    <row r="26" spans="2:45" s="50" customFormat="1" ht="38.25" customHeight="1">
      <c r="B26" s="39">
        <v>2</v>
      </c>
      <c r="C26" s="351" t="s">
        <v>58</v>
      </c>
      <c r="D26" s="437">
        <f t="shared" ref="D26:M26" si="17">D71</f>
        <v>5</v>
      </c>
      <c r="E26" s="44">
        <f t="shared" si="17"/>
        <v>3</v>
      </c>
      <c r="F26" s="44">
        <f t="shared" si="17"/>
        <v>35000</v>
      </c>
      <c r="G26" s="44">
        <f t="shared" si="17"/>
        <v>0</v>
      </c>
      <c r="H26" s="44">
        <f t="shared" si="17"/>
        <v>0</v>
      </c>
      <c r="I26" s="44">
        <f t="shared" si="17"/>
        <v>2</v>
      </c>
      <c r="J26" s="44">
        <f t="shared" si="17"/>
        <v>10000</v>
      </c>
      <c r="K26" s="44">
        <f t="shared" si="17"/>
        <v>0</v>
      </c>
      <c r="L26" s="44">
        <f t="shared" si="17"/>
        <v>5</v>
      </c>
      <c r="M26" s="44">
        <f t="shared" si="17"/>
        <v>0</v>
      </c>
      <c r="N26" s="84"/>
      <c r="O26" s="84"/>
      <c r="P26" s="84"/>
      <c r="Q26" s="84"/>
      <c r="R26" s="84"/>
      <c r="S26" s="84"/>
      <c r="T26" s="84"/>
      <c r="U26" s="84"/>
      <c r="V26" s="84"/>
      <c r="W26" s="44">
        <f t="shared" ref="W26:AM26" si="18">W71</f>
        <v>131861</v>
      </c>
      <c r="X26" s="213"/>
      <c r="Y26" s="44">
        <f t="shared" si="18"/>
        <v>120768</v>
      </c>
      <c r="Z26" s="213">
        <f t="shared" si="18"/>
        <v>0</v>
      </c>
      <c r="AA26" s="44">
        <f t="shared" si="18"/>
        <v>120700</v>
      </c>
      <c r="AB26" s="213">
        <f t="shared" si="18"/>
        <v>120700</v>
      </c>
      <c r="AC26" s="213">
        <f t="shared" si="18"/>
        <v>0</v>
      </c>
      <c r="AD26" s="213">
        <f t="shared" si="18"/>
        <v>0</v>
      </c>
      <c r="AE26" s="213">
        <f t="shared" si="18"/>
        <v>0</v>
      </c>
      <c r="AF26" s="213">
        <f t="shared" si="18"/>
        <v>0</v>
      </c>
      <c r="AG26" s="213">
        <f t="shared" si="18"/>
        <v>0</v>
      </c>
      <c r="AH26" s="213">
        <f t="shared" si="18"/>
        <v>0</v>
      </c>
      <c r="AI26" s="213">
        <f t="shared" si="18"/>
        <v>7000</v>
      </c>
      <c r="AJ26" s="44">
        <f t="shared" ref="AJ26" si="19">AJ71</f>
        <v>7000</v>
      </c>
      <c r="AK26" s="213">
        <f t="shared" si="18"/>
        <v>50000</v>
      </c>
      <c r="AL26" s="44">
        <f t="shared" si="18"/>
        <v>45000</v>
      </c>
      <c r="AM26" s="44">
        <f t="shared" si="18"/>
        <v>45000</v>
      </c>
      <c r="AN26" s="44"/>
      <c r="AO26" s="44"/>
      <c r="AP26" s="44"/>
      <c r="AQ26" s="47"/>
      <c r="AR26" s="48">
        <f t="shared" si="12"/>
        <v>68700</v>
      </c>
      <c r="AS26" s="81">
        <f t="shared" si="13"/>
        <v>0</v>
      </c>
    </row>
    <row r="27" spans="2:45" s="50" customFormat="1" ht="38.25" customHeight="1">
      <c r="B27" s="39">
        <v>3</v>
      </c>
      <c r="C27" s="351" t="s">
        <v>37</v>
      </c>
      <c r="D27" s="437">
        <f t="shared" ref="D27:M27" si="20">D82</f>
        <v>108</v>
      </c>
      <c r="E27" s="44">
        <f t="shared" si="20"/>
        <v>6</v>
      </c>
      <c r="F27" s="44">
        <f t="shared" si="20"/>
        <v>22000</v>
      </c>
      <c r="G27" s="44">
        <f t="shared" si="20"/>
        <v>34</v>
      </c>
      <c r="H27" s="44">
        <f t="shared" si="20"/>
        <v>247540</v>
      </c>
      <c r="I27" s="44">
        <f t="shared" si="20"/>
        <v>68</v>
      </c>
      <c r="J27" s="44">
        <f t="shared" si="20"/>
        <v>380300</v>
      </c>
      <c r="K27" s="44" t="e">
        <f t="shared" si="20"/>
        <v>#REF!</v>
      </c>
      <c r="L27" s="44" t="e">
        <f t="shared" si="20"/>
        <v>#REF!</v>
      </c>
      <c r="M27" s="44" t="e">
        <f t="shared" si="20"/>
        <v>#REF!</v>
      </c>
      <c r="N27" s="84"/>
      <c r="O27" s="84"/>
      <c r="P27" s="84"/>
      <c r="Q27" s="84"/>
      <c r="R27" s="84"/>
      <c r="S27" s="84"/>
      <c r="T27" s="84"/>
      <c r="U27" s="84"/>
      <c r="V27" s="84"/>
      <c r="W27" s="44">
        <f t="shared" ref="W27:AN27" si="21">W82</f>
        <v>4100863.2829999998</v>
      </c>
      <c r="X27" s="213"/>
      <c r="Y27" s="44">
        <f t="shared" si="21"/>
        <v>2641947.2829999998</v>
      </c>
      <c r="Z27" s="213" t="e">
        <f t="shared" si="21"/>
        <v>#REF!</v>
      </c>
      <c r="AA27" s="44">
        <f t="shared" si="21"/>
        <v>2632245</v>
      </c>
      <c r="AB27" s="213" t="e">
        <f t="shared" si="21"/>
        <v>#REF!</v>
      </c>
      <c r="AC27" s="213" t="e">
        <f t="shared" si="21"/>
        <v>#REF!</v>
      </c>
      <c r="AD27" s="213" t="e">
        <f t="shared" si="21"/>
        <v>#REF!</v>
      </c>
      <c r="AE27" s="213" t="e">
        <f t="shared" si="21"/>
        <v>#REF!</v>
      </c>
      <c r="AF27" s="213">
        <f t="shared" si="21"/>
        <v>527371.777</v>
      </c>
      <c r="AG27" s="213" t="e">
        <f t="shared" si="21"/>
        <v>#REF!</v>
      </c>
      <c r="AH27" s="213" t="e">
        <f t="shared" si="21"/>
        <v>#REF!</v>
      </c>
      <c r="AI27" s="213">
        <f t="shared" si="21"/>
        <v>643616</v>
      </c>
      <c r="AJ27" s="44">
        <f t="shared" ref="AJ27" si="22">AJ82</f>
        <v>1170987.777</v>
      </c>
      <c r="AK27" s="213">
        <f t="shared" si="21"/>
        <v>1118845</v>
      </c>
      <c r="AL27" s="44">
        <f t="shared" si="21"/>
        <v>649840</v>
      </c>
      <c r="AM27" s="44"/>
      <c r="AN27" s="44">
        <f t="shared" si="21"/>
        <v>649840</v>
      </c>
      <c r="AO27" s="44"/>
      <c r="AP27" s="44"/>
      <c r="AQ27" s="47"/>
      <c r="AR27" s="48">
        <f t="shared" si="12"/>
        <v>811417.223</v>
      </c>
      <c r="AS27" s="81">
        <f t="shared" si="13"/>
        <v>0</v>
      </c>
    </row>
    <row r="28" spans="2:45" s="50" customFormat="1" ht="17.45" customHeight="1">
      <c r="B28" s="39">
        <v>4</v>
      </c>
      <c r="C28" s="102" t="s">
        <v>59</v>
      </c>
      <c r="D28" s="437">
        <f t="shared" ref="D28:M28" si="23">D234</f>
        <v>2</v>
      </c>
      <c r="E28" s="44">
        <f t="shared" si="23"/>
        <v>1</v>
      </c>
      <c r="F28" s="44">
        <f t="shared" si="23"/>
        <v>15000</v>
      </c>
      <c r="G28" s="44">
        <f t="shared" si="23"/>
        <v>1</v>
      </c>
      <c r="H28" s="44">
        <f t="shared" si="23"/>
        <v>4000</v>
      </c>
      <c r="I28" s="44">
        <f t="shared" si="23"/>
        <v>0</v>
      </c>
      <c r="J28" s="44">
        <f t="shared" si="23"/>
        <v>0</v>
      </c>
      <c r="K28" s="44">
        <f t="shared" si="23"/>
        <v>0</v>
      </c>
      <c r="L28" s="44">
        <f t="shared" si="23"/>
        <v>2</v>
      </c>
      <c r="M28" s="44">
        <f t="shared" si="23"/>
        <v>0</v>
      </c>
      <c r="N28" s="84"/>
      <c r="O28" s="84"/>
      <c r="P28" s="84"/>
      <c r="Q28" s="84"/>
      <c r="R28" s="84"/>
      <c r="S28" s="84"/>
      <c r="T28" s="84"/>
      <c r="U28" s="84"/>
      <c r="V28" s="84"/>
      <c r="W28" s="44">
        <f t="shared" ref="W28:AM28" si="24">W234</f>
        <v>83979</v>
      </c>
      <c r="X28" s="213"/>
      <c r="Y28" s="44">
        <f t="shared" si="24"/>
        <v>76210</v>
      </c>
      <c r="Z28" s="213">
        <f t="shared" si="24"/>
        <v>0</v>
      </c>
      <c r="AA28" s="44">
        <f t="shared" si="24"/>
        <v>76210</v>
      </c>
      <c r="AB28" s="213">
        <f t="shared" si="24"/>
        <v>37210</v>
      </c>
      <c r="AC28" s="213">
        <f t="shared" si="24"/>
        <v>0</v>
      </c>
      <c r="AD28" s="213">
        <f t="shared" si="24"/>
        <v>0</v>
      </c>
      <c r="AE28" s="213">
        <f t="shared" si="24"/>
        <v>0</v>
      </c>
      <c r="AF28" s="213">
        <f t="shared" si="24"/>
        <v>3165.6173210000002</v>
      </c>
      <c r="AG28" s="213">
        <f t="shared" si="24"/>
        <v>30000</v>
      </c>
      <c r="AH28" s="213">
        <f t="shared" si="24"/>
        <v>0</v>
      </c>
      <c r="AI28" s="213">
        <f t="shared" si="24"/>
        <v>30000</v>
      </c>
      <c r="AJ28" s="44">
        <f>AJ234</f>
        <v>33165.617320999998</v>
      </c>
      <c r="AK28" s="213">
        <f t="shared" si="24"/>
        <v>25000</v>
      </c>
      <c r="AL28" s="44">
        <f t="shared" si="24"/>
        <v>19000</v>
      </c>
      <c r="AM28" s="44">
        <f t="shared" si="24"/>
        <v>19000</v>
      </c>
      <c r="AN28" s="44"/>
      <c r="AO28" s="44"/>
      <c r="AP28" s="44"/>
      <c r="AQ28" s="47"/>
      <c r="AR28" s="48">
        <f t="shared" si="12"/>
        <v>24044.382679000002</v>
      </c>
      <c r="AS28" s="81">
        <f t="shared" si="13"/>
        <v>0</v>
      </c>
    </row>
    <row r="29" spans="2:45" s="50" customFormat="1" ht="21" customHeight="1">
      <c r="B29" s="39">
        <v>5</v>
      </c>
      <c r="C29" s="351" t="s">
        <v>62</v>
      </c>
      <c r="D29" s="437">
        <f t="shared" ref="D29:M29" si="25">D242</f>
        <v>6</v>
      </c>
      <c r="E29" s="44">
        <f t="shared" si="25"/>
        <v>4</v>
      </c>
      <c r="F29" s="44">
        <f t="shared" si="25"/>
        <v>266100</v>
      </c>
      <c r="G29" s="44">
        <f t="shared" si="25"/>
        <v>0</v>
      </c>
      <c r="H29" s="44">
        <f t="shared" si="25"/>
        <v>0</v>
      </c>
      <c r="I29" s="44">
        <f t="shared" si="25"/>
        <v>2</v>
      </c>
      <c r="J29" s="44">
        <f t="shared" si="25"/>
        <v>75000</v>
      </c>
      <c r="K29" s="44">
        <f t="shared" si="25"/>
        <v>0</v>
      </c>
      <c r="L29" s="44">
        <f t="shared" si="25"/>
        <v>6</v>
      </c>
      <c r="M29" s="44">
        <f t="shared" si="25"/>
        <v>0</v>
      </c>
      <c r="N29" s="84"/>
      <c r="O29" s="84"/>
      <c r="P29" s="84"/>
      <c r="Q29" s="84"/>
      <c r="R29" s="84"/>
      <c r="S29" s="84"/>
      <c r="T29" s="84"/>
      <c r="U29" s="84"/>
      <c r="V29" s="84"/>
      <c r="W29" s="44">
        <f t="shared" ref="W29:AP29" si="26">W242</f>
        <v>625533.89399999997</v>
      </c>
      <c r="X29" s="213">
        <f t="shared" si="26"/>
        <v>199500</v>
      </c>
      <c r="Y29" s="44">
        <f t="shared" si="26"/>
        <v>566700</v>
      </c>
      <c r="Z29" s="213">
        <f t="shared" si="26"/>
        <v>0</v>
      </c>
      <c r="AA29" s="44">
        <f t="shared" si="26"/>
        <v>566700</v>
      </c>
      <c r="AB29" s="213">
        <f t="shared" si="26"/>
        <v>0</v>
      </c>
      <c r="AC29" s="213">
        <f t="shared" si="26"/>
        <v>431200</v>
      </c>
      <c r="AD29" s="213">
        <f t="shared" si="26"/>
        <v>135500</v>
      </c>
      <c r="AE29" s="213">
        <f t="shared" si="26"/>
        <v>0</v>
      </c>
      <c r="AF29" s="213">
        <f t="shared" si="26"/>
        <v>485.13900000000001</v>
      </c>
      <c r="AG29" s="213">
        <f t="shared" si="26"/>
        <v>15200</v>
      </c>
      <c r="AH29" s="213">
        <f t="shared" si="26"/>
        <v>577.02599999999995</v>
      </c>
      <c r="AI29" s="213">
        <f t="shared" si="26"/>
        <v>15200</v>
      </c>
      <c r="AJ29" s="44">
        <f>AJ242</f>
        <v>15685.138999999999</v>
      </c>
      <c r="AK29" s="213">
        <f t="shared" si="26"/>
        <v>361100</v>
      </c>
      <c r="AL29" s="44">
        <f t="shared" si="26"/>
        <v>341100</v>
      </c>
      <c r="AM29" s="44"/>
      <c r="AN29" s="44">
        <f t="shared" si="26"/>
        <v>205600</v>
      </c>
      <c r="AO29" s="44">
        <f t="shared" si="26"/>
        <v>0</v>
      </c>
      <c r="AP29" s="44">
        <f t="shared" si="26"/>
        <v>135500</v>
      </c>
      <c r="AQ29" s="47"/>
      <c r="AR29" s="48">
        <f t="shared" si="12"/>
        <v>209914.86099999998</v>
      </c>
      <c r="AS29" s="81">
        <f t="shared" si="13"/>
        <v>135500</v>
      </c>
    </row>
    <row r="30" spans="2:45" s="50" customFormat="1" ht="18.95" customHeight="1">
      <c r="B30" s="39">
        <v>6</v>
      </c>
      <c r="C30" s="110" t="s">
        <v>84</v>
      </c>
      <c r="D30" s="437">
        <f t="shared" ref="D30:J30" si="27">D254</f>
        <v>3</v>
      </c>
      <c r="E30" s="44">
        <f t="shared" si="27"/>
        <v>2</v>
      </c>
      <c r="F30" s="44">
        <f t="shared" si="27"/>
        <v>6280</v>
      </c>
      <c r="G30" s="44">
        <f t="shared" si="27"/>
        <v>1</v>
      </c>
      <c r="H30" s="44">
        <f t="shared" si="27"/>
        <v>18900</v>
      </c>
      <c r="I30" s="44">
        <f t="shared" si="27"/>
        <v>0</v>
      </c>
      <c r="J30" s="44">
        <f t="shared" si="27"/>
        <v>0</v>
      </c>
      <c r="K30" s="44">
        <f t="shared" ref="K30:M30" si="28">K254</f>
        <v>0</v>
      </c>
      <c r="L30" s="44">
        <f t="shared" si="28"/>
        <v>3</v>
      </c>
      <c r="M30" s="44">
        <f t="shared" si="28"/>
        <v>0</v>
      </c>
      <c r="N30" s="84"/>
      <c r="O30" s="84"/>
      <c r="P30" s="84"/>
      <c r="Q30" s="84"/>
      <c r="R30" s="84"/>
      <c r="S30" s="84"/>
      <c r="T30" s="84"/>
      <c r="U30" s="84"/>
      <c r="V30" s="84"/>
      <c r="W30" s="44">
        <f t="shared" ref="W30:AP30" si="29">W254</f>
        <v>96211.69200000001</v>
      </c>
      <c r="X30" s="213">
        <f t="shared" si="29"/>
        <v>27400</v>
      </c>
      <c r="Y30" s="44">
        <f t="shared" si="29"/>
        <v>86500</v>
      </c>
      <c r="Z30" s="213">
        <f t="shared" si="29"/>
        <v>360</v>
      </c>
      <c r="AA30" s="44">
        <f t="shared" si="29"/>
        <v>86500</v>
      </c>
      <c r="AB30" s="213">
        <f t="shared" si="29"/>
        <v>21800</v>
      </c>
      <c r="AC30" s="213">
        <f t="shared" si="29"/>
        <v>37300</v>
      </c>
      <c r="AD30" s="213">
        <f t="shared" si="29"/>
        <v>27400</v>
      </c>
      <c r="AE30" s="213">
        <f t="shared" si="29"/>
        <v>0</v>
      </c>
      <c r="AF30" s="213">
        <f t="shared" si="29"/>
        <v>624</v>
      </c>
      <c r="AG30" s="213">
        <f t="shared" si="29"/>
        <v>27400</v>
      </c>
      <c r="AH30" s="213">
        <f t="shared" si="29"/>
        <v>0</v>
      </c>
      <c r="AI30" s="213">
        <f t="shared" si="29"/>
        <v>29956</v>
      </c>
      <c r="AJ30" s="44">
        <f>AJ254</f>
        <v>30700</v>
      </c>
      <c r="AK30" s="213">
        <f t="shared" si="29"/>
        <v>25180</v>
      </c>
      <c r="AL30" s="44">
        <f t="shared" si="29"/>
        <v>25180</v>
      </c>
      <c r="AM30" s="44">
        <f t="shared" si="29"/>
        <v>18900</v>
      </c>
      <c r="AN30" s="44">
        <f t="shared" si="29"/>
        <v>6280</v>
      </c>
      <c r="AO30" s="44"/>
      <c r="AP30" s="44">
        <f t="shared" si="29"/>
        <v>0</v>
      </c>
      <c r="AQ30" s="47"/>
      <c r="AR30" s="48">
        <f t="shared" si="12"/>
        <v>30740</v>
      </c>
      <c r="AS30" s="81">
        <f t="shared" si="13"/>
        <v>0</v>
      </c>
    </row>
    <row r="31" spans="2:45" s="50" customFormat="1" ht="35.1" customHeight="1">
      <c r="B31" s="39">
        <v>7</v>
      </c>
      <c r="C31" s="351" t="s">
        <v>61</v>
      </c>
      <c r="D31" s="437">
        <f t="shared" ref="D31:J31" si="30">D262</f>
        <v>1</v>
      </c>
      <c r="E31" s="44">
        <f t="shared" si="30"/>
        <v>0</v>
      </c>
      <c r="F31" s="44">
        <f t="shared" si="30"/>
        <v>0</v>
      </c>
      <c r="G31" s="44">
        <f t="shared" si="30"/>
        <v>0</v>
      </c>
      <c r="H31" s="44">
        <f t="shared" si="30"/>
        <v>0</v>
      </c>
      <c r="I31" s="44">
        <f t="shared" si="30"/>
        <v>1</v>
      </c>
      <c r="J31" s="44">
        <f t="shared" si="30"/>
        <v>18500</v>
      </c>
      <c r="K31" s="44">
        <f t="shared" ref="K31:M31" si="31">K262</f>
        <v>0</v>
      </c>
      <c r="L31" s="44">
        <f t="shared" si="31"/>
        <v>1</v>
      </c>
      <c r="M31" s="44">
        <f t="shared" si="31"/>
        <v>0</v>
      </c>
      <c r="N31" s="84"/>
      <c r="O31" s="84"/>
      <c r="P31" s="84"/>
      <c r="Q31" s="84"/>
      <c r="R31" s="84"/>
      <c r="S31" s="84"/>
      <c r="T31" s="84"/>
      <c r="U31" s="84"/>
      <c r="V31" s="84"/>
      <c r="W31" s="44">
        <f t="shared" ref="W31:AM31" si="32">W262</f>
        <v>57112</v>
      </c>
      <c r="X31" s="213"/>
      <c r="Y31" s="44">
        <f t="shared" si="32"/>
        <v>33500</v>
      </c>
      <c r="Z31" s="213">
        <f t="shared" si="32"/>
        <v>0</v>
      </c>
      <c r="AA31" s="44">
        <f t="shared" si="32"/>
        <v>33500</v>
      </c>
      <c r="AB31" s="213">
        <f t="shared" si="32"/>
        <v>33500</v>
      </c>
      <c r="AC31" s="213">
        <f t="shared" si="32"/>
        <v>0</v>
      </c>
      <c r="AD31" s="213">
        <f t="shared" si="32"/>
        <v>0</v>
      </c>
      <c r="AE31" s="213">
        <f t="shared" si="32"/>
        <v>0</v>
      </c>
      <c r="AF31" s="213">
        <f t="shared" si="32"/>
        <v>0</v>
      </c>
      <c r="AG31" s="213">
        <f t="shared" si="32"/>
        <v>15000</v>
      </c>
      <c r="AH31" s="213">
        <f t="shared" si="32"/>
        <v>0</v>
      </c>
      <c r="AI31" s="213">
        <f t="shared" si="32"/>
        <v>15000</v>
      </c>
      <c r="AJ31" s="44">
        <f>AJ262</f>
        <v>15000</v>
      </c>
      <c r="AK31" s="213">
        <f t="shared" si="32"/>
        <v>18500</v>
      </c>
      <c r="AL31" s="44">
        <f t="shared" si="32"/>
        <v>18500</v>
      </c>
      <c r="AM31" s="44">
        <f t="shared" si="32"/>
        <v>18500</v>
      </c>
      <c r="AN31" s="44"/>
      <c r="AO31" s="44"/>
      <c r="AP31" s="44"/>
      <c r="AQ31" s="47"/>
      <c r="AR31" s="48">
        <f t="shared" si="12"/>
        <v>0</v>
      </c>
      <c r="AS31" s="81">
        <f t="shared" si="13"/>
        <v>0</v>
      </c>
    </row>
    <row r="32" spans="2:45" s="50" customFormat="1" ht="18.600000000000001" customHeight="1">
      <c r="B32" s="39">
        <v>8</v>
      </c>
      <c r="C32" s="102" t="s">
        <v>65</v>
      </c>
      <c r="D32" s="437">
        <f t="shared" ref="D32:J32" si="33">D267</f>
        <v>19</v>
      </c>
      <c r="E32" s="44">
        <f t="shared" si="33"/>
        <v>7</v>
      </c>
      <c r="F32" s="44">
        <f t="shared" si="33"/>
        <v>16900</v>
      </c>
      <c r="G32" s="44">
        <f t="shared" si="33"/>
        <v>12</v>
      </c>
      <c r="H32" s="44">
        <f t="shared" si="33"/>
        <v>16020</v>
      </c>
      <c r="I32" s="44">
        <f t="shared" si="33"/>
        <v>0</v>
      </c>
      <c r="J32" s="44">
        <f t="shared" si="33"/>
        <v>0</v>
      </c>
      <c r="K32" s="44" t="e">
        <f t="shared" ref="K32:M32" si="34">K267</f>
        <v>#REF!</v>
      </c>
      <c r="L32" s="44" t="e">
        <f t="shared" si="34"/>
        <v>#REF!</v>
      </c>
      <c r="M32" s="44" t="e">
        <f t="shared" si="34"/>
        <v>#REF!</v>
      </c>
      <c r="N32" s="84"/>
      <c r="O32" s="84"/>
      <c r="P32" s="84"/>
      <c r="Q32" s="84"/>
      <c r="R32" s="84"/>
      <c r="S32" s="84"/>
      <c r="T32" s="84"/>
      <c r="U32" s="84"/>
      <c r="V32" s="84"/>
      <c r="W32" s="44">
        <f t="shared" ref="W32:AN32" si="35">W267</f>
        <v>89818</v>
      </c>
      <c r="X32" s="213"/>
      <c r="Y32" s="44">
        <f t="shared" si="35"/>
        <v>76575</v>
      </c>
      <c r="Z32" s="213">
        <f t="shared" si="35"/>
        <v>0</v>
      </c>
      <c r="AA32" s="44">
        <f t="shared" si="35"/>
        <v>58040</v>
      </c>
      <c r="AB32" s="213">
        <f t="shared" si="35"/>
        <v>0</v>
      </c>
      <c r="AC32" s="213">
        <f t="shared" si="35"/>
        <v>58040</v>
      </c>
      <c r="AD32" s="213">
        <f t="shared" si="35"/>
        <v>0</v>
      </c>
      <c r="AE32" s="213">
        <f t="shared" si="35"/>
        <v>0</v>
      </c>
      <c r="AF32" s="213">
        <f t="shared" si="35"/>
        <v>0</v>
      </c>
      <c r="AG32" s="213">
        <f t="shared" si="35"/>
        <v>19400</v>
      </c>
      <c r="AH32" s="213">
        <f t="shared" si="35"/>
        <v>2142.2959999999998</v>
      </c>
      <c r="AI32" s="213">
        <f t="shared" si="35"/>
        <v>18040</v>
      </c>
      <c r="AJ32" s="44">
        <f>AJ267</f>
        <v>18040</v>
      </c>
      <c r="AK32" s="213">
        <f t="shared" si="35"/>
        <v>32990</v>
      </c>
      <c r="AL32" s="44">
        <f t="shared" si="35"/>
        <v>32920</v>
      </c>
      <c r="AM32" s="44">
        <f t="shared" si="35"/>
        <v>0</v>
      </c>
      <c r="AN32" s="44">
        <f t="shared" si="35"/>
        <v>32920</v>
      </c>
      <c r="AO32" s="44"/>
      <c r="AP32" s="44"/>
      <c r="AQ32" s="47"/>
      <c r="AR32" s="48">
        <f t="shared" si="12"/>
        <v>7080</v>
      </c>
      <c r="AS32" s="81">
        <f t="shared" si="13"/>
        <v>0</v>
      </c>
    </row>
    <row r="33" spans="2:45" s="50" customFormat="1" ht="18.600000000000001" customHeight="1">
      <c r="B33" s="85">
        <v>9</v>
      </c>
      <c r="C33" s="343" t="s">
        <v>586</v>
      </c>
      <c r="D33" s="437"/>
      <c r="E33" s="44"/>
      <c r="F33" s="44"/>
      <c r="G33" s="44"/>
      <c r="H33" s="44"/>
      <c r="I33" s="44"/>
      <c r="J33" s="44"/>
      <c r="K33" s="44"/>
      <c r="L33" s="44"/>
      <c r="M33" s="44"/>
      <c r="N33" s="84"/>
      <c r="O33" s="84"/>
      <c r="P33" s="84"/>
      <c r="Q33" s="84"/>
      <c r="R33" s="84"/>
      <c r="S33" s="84"/>
      <c r="T33" s="84"/>
      <c r="U33" s="84"/>
      <c r="V33" s="84"/>
      <c r="W33" s="44"/>
      <c r="X33" s="213"/>
      <c r="Y33" s="44"/>
      <c r="Z33" s="213"/>
      <c r="AA33" s="44"/>
      <c r="AB33" s="213"/>
      <c r="AC33" s="213"/>
      <c r="AD33" s="213"/>
      <c r="AE33" s="213"/>
      <c r="AF33" s="213"/>
      <c r="AG33" s="213"/>
      <c r="AH33" s="213"/>
      <c r="AI33" s="213"/>
      <c r="AJ33" s="44"/>
      <c r="AK33" s="213"/>
      <c r="AL33" s="44"/>
      <c r="AM33" s="44"/>
      <c r="AN33" s="44"/>
      <c r="AO33" s="44"/>
      <c r="AP33" s="44">
        <f>AP305</f>
        <v>0</v>
      </c>
      <c r="AQ33" s="47"/>
      <c r="AR33" s="48"/>
      <c r="AS33" s="81"/>
    </row>
    <row r="34" spans="2:45" s="50" customFormat="1" ht="18.600000000000001" customHeight="1">
      <c r="B34" s="86" t="s">
        <v>50</v>
      </c>
      <c r="C34" s="344" t="s">
        <v>69</v>
      </c>
      <c r="D34" s="438">
        <f t="shared" ref="D34:J34" si="36">D306</f>
        <v>1</v>
      </c>
      <c r="E34" s="55">
        <f t="shared" si="36"/>
        <v>1</v>
      </c>
      <c r="F34" s="55">
        <f t="shared" si="36"/>
        <v>47234</v>
      </c>
      <c r="G34" s="55">
        <f t="shared" si="36"/>
        <v>0</v>
      </c>
      <c r="H34" s="55">
        <f t="shared" si="36"/>
        <v>0</v>
      </c>
      <c r="I34" s="55">
        <f t="shared" si="36"/>
        <v>0</v>
      </c>
      <c r="J34" s="55">
        <f t="shared" si="36"/>
        <v>0</v>
      </c>
      <c r="K34" s="55">
        <f t="shared" ref="K34:M34" si="37">K306</f>
        <v>0</v>
      </c>
      <c r="L34" s="55">
        <f t="shared" si="37"/>
        <v>1</v>
      </c>
      <c r="M34" s="55">
        <f t="shared" si="37"/>
        <v>0</v>
      </c>
      <c r="N34" s="84"/>
      <c r="O34" s="84"/>
      <c r="P34" s="84"/>
      <c r="Q34" s="84"/>
      <c r="R34" s="84"/>
      <c r="S34" s="84"/>
      <c r="T34" s="84"/>
      <c r="U34" s="84"/>
      <c r="V34" s="84"/>
      <c r="W34" s="55">
        <f t="shared" ref="W34:AO34" si="38">W306</f>
        <v>62042</v>
      </c>
      <c r="X34" s="215">
        <f t="shared" si="38"/>
        <v>0</v>
      </c>
      <c r="Y34" s="55">
        <f t="shared" si="38"/>
        <v>55900</v>
      </c>
      <c r="Z34" s="215">
        <f t="shared" si="38"/>
        <v>0</v>
      </c>
      <c r="AA34" s="55">
        <f t="shared" si="38"/>
        <v>55900</v>
      </c>
      <c r="AB34" s="215">
        <f t="shared" si="38"/>
        <v>55900</v>
      </c>
      <c r="AC34" s="215">
        <f t="shared" si="38"/>
        <v>0</v>
      </c>
      <c r="AD34" s="215">
        <f t="shared" si="38"/>
        <v>0</v>
      </c>
      <c r="AE34" s="215">
        <f t="shared" si="38"/>
        <v>0</v>
      </c>
      <c r="AF34" s="215">
        <f t="shared" si="38"/>
        <v>0</v>
      </c>
      <c r="AG34" s="215">
        <f t="shared" si="38"/>
        <v>0</v>
      </c>
      <c r="AH34" s="215">
        <f t="shared" si="38"/>
        <v>0</v>
      </c>
      <c r="AI34" s="215">
        <f t="shared" si="38"/>
        <v>0</v>
      </c>
      <c r="AJ34" s="55">
        <f t="shared" si="38"/>
        <v>0</v>
      </c>
      <c r="AK34" s="215">
        <f t="shared" si="38"/>
        <v>55900</v>
      </c>
      <c r="AL34" s="55">
        <f t="shared" si="38"/>
        <v>47234</v>
      </c>
      <c r="AM34" s="55">
        <f t="shared" si="38"/>
        <v>47234</v>
      </c>
      <c r="AN34" s="55">
        <f t="shared" si="38"/>
        <v>0</v>
      </c>
      <c r="AO34" s="55">
        <f t="shared" si="38"/>
        <v>0</v>
      </c>
      <c r="AP34" s="55">
        <f>AP306</f>
        <v>0</v>
      </c>
      <c r="AQ34" s="47"/>
      <c r="AR34" s="48"/>
      <c r="AS34" s="81"/>
    </row>
    <row r="35" spans="2:45" s="50" customFormat="1" ht="18.600000000000001" customHeight="1">
      <c r="B35" s="39">
        <v>10</v>
      </c>
      <c r="C35" s="156" t="s">
        <v>101</v>
      </c>
      <c r="D35" s="437"/>
      <c r="E35" s="44"/>
      <c r="F35" s="44"/>
      <c r="G35" s="44"/>
      <c r="H35" s="44"/>
      <c r="I35" s="44"/>
      <c r="J35" s="44"/>
      <c r="K35" s="44"/>
      <c r="L35" s="44"/>
      <c r="M35" s="44"/>
      <c r="N35" s="39"/>
      <c r="O35" s="39"/>
      <c r="P35" s="39"/>
      <c r="Q35" s="39"/>
      <c r="R35" s="39"/>
      <c r="S35" s="39"/>
      <c r="T35" s="39"/>
      <c r="U35" s="39"/>
      <c r="V35" s="87"/>
      <c r="W35" s="44"/>
      <c r="X35" s="213"/>
      <c r="Y35" s="44"/>
      <c r="Z35" s="213"/>
      <c r="AA35" s="44"/>
      <c r="AB35" s="213"/>
      <c r="AC35" s="213"/>
      <c r="AD35" s="213"/>
      <c r="AE35" s="213"/>
      <c r="AF35" s="213"/>
      <c r="AG35" s="213"/>
      <c r="AH35" s="213"/>
      <c r="AI35" s="213"/>
      <c r="AJ35" s="44"/>
      <c r="AK35" s="213"/>
      <c r="AL35" s="44"/>
      <c r="AM35" s="44"/>
      <c r="AN35" s="44"/>
      <c r="AO35" s="44"/>
      <c r="AP35" s="44"/>
      <c r="AQ35" s="47"/>
      <c r="AR35" s="48">
        <f t="shared" ref="AR35:AR43" si="39">AA35-(AF35+AI35+AL35)</f>
        <v>0</v>
      </c>
      <c r="AS35" s="81">
        <f t="shared" ref="AS35:AS43" si="40">AL35-(AM35+AN35+AO35)</f>
        <v>0</v>
      </c>
    </row>
    <row r="36" spans="2:45" s="50" customFormat="1" ht="45" customHeight="1">
      <c r="B36" s="88" t="s">
        <v>50</v>
      </c>
      <c r="C36" s="351" t="s">
        <v>63</v>
      </c>
      <c r="D36" s="437">
        <f t="shared" ref="D36:J36" si="41">D311</f>
        <v>15</v>
      </c>
      <c r="E36" s="44">
        <f t="shared" si="41"/>
        <v>4</v>
      </c>
      <c r="F36" s="44">
        <f t="shared" si="41"/>
        <v>16746</v>
      </c>
      <c r="G36" s="44">
        <f t="shared" si="41"/>
        <v>7</v>
      </c>
      <c r="H36" s="44">
        <f t="shared" si="41"/>
        <v>326700</v>
      </c>
      <c r="I36" s="44">
        <f t="shared" si="41"/>
        <v>4</v>
      </c>
      <c r="J36" s="44">
        <f t="shared" si="41"/>
        <v>397130</v>
      </c>
      <c r="K36" s="44" t="e">
        <f t="shared" ref="K36:AP36" si="42">K311</f>
        <v>#REF!</v>
      </c>
      <c r="L36" s="44" t="e">
        <f t="shared" si="42"/>
        <v>#REF!</v>
      </c>
      <c r="M36" s="44" t="e">
        <f t="shared" si="42"/>
        <v>#REF!</v>
      </c>
      <c r="N36" s="44">
        <f t="shared" si="42"/>
        <v>0</v>
      </c>
      <c r="O36" s="44">
        <f t="shared" si="42"/>
        <v>0</v>
      </c>
      <c r="P36" s="44">
        <f t="shared" si="42"/>
        <v>0</v>
      </c>
      <c r="Q36" s="44">
        <f t="shared" si="42"/>
        <v>0</v>
      </c>
      <c r="R36" s="44">
        <f t="shared" si="42"/>
        <v>0</v>
      </c>
      <c r="S36" s="44">
        <f t="shared" si="42"/>
        <v>0</v>
      </c>
      <c r="T36" s="44">
        <f t="shared" si="42"/>
        <v>0</v>
      </c>
      <c r="U36" s="44">
        <f t="shared" si="42"/>
        <v>0</v>
      </c>
      <c r="V36" s="44">
        <f t="shared" si="42"/>
        <v>0</v>
      </c>
      <c r="W36" s="44">
        <f t="shared" si="42"/>
        <v>2566743</v>
      </c>
      <c r="X36" s="44" t="e">
        <f t="shared" si="42"/>
        <v>#REF!</v>
      </c>
      <c r="Y36" s="44">
        <f t="shared" si="42"/>
        <v>2079691</v>
      </c>
      <c r="Z36" s="44">
        <f t="shared" si="42"/>
        <v>0</v>
      </c>
      <c r="AA36" s="44">
        <f t="shared" si="42"/>
        <v>1997576</v>
      </c>
      <c r="AB36" s="213">
        <f t="shared" si="42"/>
        <v>20000</v>
      </c>
      <c r="AC36" s="213">
        <f t="shared" si="42"/>
        <v>1222406</v>
      </c>
      <c r="AD36" s="213">
        <f t="shared" si="42"/>
        <v>1386620</v>
      </c>
      <c r="AE36" s="213">
        <f t="shared" si="42"/>
        <v>335000</v>
      </c>
      <c r="AF36" s="213">
        <f t="shared" si="42"/>
        <v>163008.70800000001</v>
      </c>
      <c r="AG36" s="213">
        <f t="shared" si="42"/>
        <v>153211.16899999999</v>
      </c>
      <c r="AH36" s="213">
        <f t="shared" si="42"/>
        <v>33455.595000000001</v>
      </c>
      <c r="AI36" s="213">
        <f t="shared" si="42"/>
        <v>560495.56050500006</v>
      </c>
      <c r="AJ36" s="44">
        <f t="shared" si="42"/>
        <v>723504.26850500004</v>
      </c>
      <c r="AK36" s="213">
        <f t="shared" si="42"/>
        <v>830357</v>
      </c>
      <c r="AL36" s="44">
        <f t="shared" si="42"/>
        <v>740576</v>
      </c>
      <c r="AM36" s="44">
        <f t="shared" si="42"/>
        <v>12146</v>
      </c>
      <c r="AN36" s="44">
        <f t="shared" si="42"/>
        <v>51300</v>
      </c>
      <c r="AO36" s="44">
        <f t="shared" si="42"/>
        <v>387130</v>
      </c>
      <c r="AP36" s="44">
        <f t="shared" si="42"/>
        <v>290000</v>
      </c>
      <c r="AQ36" s="47"/>
      <c r="AR36" s="48">
        <f t="shared" si="39"/>
        <v>533495.73149499996</v>
      </c>
      <c r="AS36" s="81">
        <f t="shared" si="40"/>
        <v>290000</v>
      </c>
    </row>
    <row r="37" spans="2:45" s="50" customFormat="1" ht="21" customHeight="1">
      <c r="B37" s="88" t="s">
        <v>51</v>
      </c>
      <c r="C37" s="102" t="s">
        <v>38</v>
      </c>
      <c r="D37" s="437">
        <f t="shared" ref="D37:J37" si="43">D343</f>
        <v>31</v>
      </c>
      <c r="E37" s="44">
        <f t="shared" si="43"/>
        <v>6</v>
      </c>
      <c r="F37" s="44">
        <f t="shared" si="43"/>
        <v>830630</v>
      </c>
      <c r="G37" s="44">
        <f t="shared" si="43"/>
        <v>14</v>
      </c>
      <c r="H37" s="44">
        <f t="shared" si="43"/>
        <v>125330</v>
      </c>
      <c r="I37" s="44">
        <f t="shared" si="43"/>
        <v>11</v>
      </c>
      <c r="J37" s="44">
        <f t="shared" si="43"/>
        <v>913000</v>
      </c>
      <c r="K37" s="44" t="e">
        <f t="shared" ref="K37:M37" si="44">K343</f>
        <v>#REF!</v>
      </c>
      <c r="L37" s="44" t="e">
        <f t="shared" si="44"/>
        <v>#REF!</v>
      </c>
      <c r="M37" s="44" t="e">
        <f t="shared" si="44"/>
        <v>#REF!</v>
      </c>
      <c r="N37" s="84"/>
      <c r="O37" s="84"/>
      <c r="P37" s="84"/>
      <c r="Q37" s="84"/>
      <c r="R37" s="84"/>
      <c r="S37" s="84"/>
      <c r="T37" s="84"/>
      <c r="U37" s="84"/>
      <c r="V37" s="84"/>
      <c r="W37" s="44">
        <f t="shared" ref="W37:AP37" si="45">W343</f>
        <v>9364483.0370000005</v>
      </c>
      <c r="X37" s="44" t="e">
        <f t="shared" si="45"/>
        <v>#REF!</v>
      </c>
      <c r="Y37" s="44">
        <f t="shared" si="45"/>
        <v>7439898</v>
      </c>
      <c r="Z37" s="44">
        <f t="shared" si="45"/>
        <v>120000</v>
      </c>
      <c r="AA37" s="44">
        <f t="shared" si="45"/>
        <v>4676410</v>
      </c>
      <c r="AB37" s="213">
        <f t="shared" si="45"/>
        <v>261360</v>
      </c>
      <c r="AC37" s="213">
        <f t="shared" si="45"/>
        <v>1548850</v>
      </c>
      <c r="AD37" s="213">
        <f t="shared" si="45"/>
        <v>2724200</v>
      </c>
      <c r="AE37" s="213">
        <f t="shared" si="45"/>
        <v>0</v>
      </c>
      <c r="AF37" s="213">
        <f t="shared" si="45"/>
        <v>409957.14500000002</v>
      </c>
      <c r="AG37" s="213">
        <f t="shared" si="45"/>
        <v>1174579</v>
      </c>
      <c r="AH37" s="213">
        <f t="shared" si="45"/>
        <v>359328.28700000001</v>
      </c>
      <c r="AI37" s="213">
        <f t="shared" si="45"/>
        <v>1365126</v>
      </c>
      <c r="AJ37" s="44">
        <f t="shared" si="45"/>
        <v>1775083.145</v>
      </c>
      <c r="AK37" s="213">
        <f t="shared" si="45"/>
        <v>1939969</v>
      </c>
      <c r="AL37" s="44">
        <f t="shared" si="45"/>
        <v>1868960</v>
      </c>
      <c r="AM37" s="44">
        <f t="shared" si="45"/>
        <v>0</v>
      </c>
      <c r="AN37" s="44">
        <f t="shared" si="45"/>
        <v>416960</v>
      </c>
      <c r="AO37" s="44">
        <f t="shared" si="45"/>
        <v>707000</v>
      </c>
      <c r="AP37" s="44">
        <f t="shared" si="45"/>
        <v>745000</v>
      </c>
      <c r="AQ37" s="47"/>
      <c r="AR37" s="48">
        <f t="shared" si="39"/>
        <v>1032366.855</v>
      </c>
      <c r="AS37" s="81">
        <f t="shared" si="40"/>
        <v>745000</v>
      </c>
    </row>
    <row r="38" spans="2:45" s="50" customFormat="1" ht="30" customHeight="1">
      <c r="B38" s="88" t="s">
        <v>52</v>
      </c>
      <c r="C38" s="351" t="s">
        <v>60</v>
      </c>
      <c r="D38" s="437">
        <f t="shared" ref="D38:J38" si="46">D406</f>
        <v>1</v>
      </c>
      <c r="E38" s="44">
        <f t="shared" si="46"/>
        <v>1</v>
      </c>
      <c r="F38" s="44">
        <f t="shared" si="46"/>
        <v>100000</v>
      </c>
      <c r="G38" s="44">
        <f t="shared" si="46"/>
        <v>0</v>
      </c>
      <c r="H38" s="44">
        <f t="shared" si="46"/>
        <v>0</v>
      </c>
      <c r="I38" s="44">
        <f t="shared" si="46"/>
        <v>0</v>
      </c>
      <c r="J38" s="44">
        <f t="shared" si="46"/>
        <v>0</v>
      </c>
      <c r="K38" s="44">
        <f>K406</f>
        <v>0</v>
      </c>
      <c r="L38" s="44">
        <f>L406</f>
        <v>1</v>
      </c>
      <c r="M38" s="44">
        <f>M406</f>
        <v>0</v>
      </c>
      <c r="N38" s="84"/>
      <c r="O38" s="84"/>
      <c r="P38" s="84"/>
      <c r="Q38" s="84"/>
      <c r="R38" s="84"/>
      <c r="S38" s="84"/>
      <c r="T38" s="84"/>
      <c r="U38" s="84"/>
      <c r="V38" s="84"/>
      <c r="W38" s="44">
        <f t="shared" ref="W38:AO38" si="47">W406</f>
        <v>393116</v>
      </c>
      <c r="X38" s="213">
        <f t="shared" si="47"/>
        <v>200000</v>
      </c>
      <c r="Y38" s="44">
        <f t="shared" si="47"/>
        <v>354000</v>
      </c>
      <c r="Z38" s="213">
        <f t="shared" si="47"/>
        <v>0</v>
      </c>
      <c r="AA38" s="44">
        <f t="shared" si="47"/>
        <v>304000</v>
      </c>
      <c r="AB38" s="213">
        <f t="shared" si="47"/>
        <v>154000</v>
      </c>
      <c r="AC38" s="213">
        <f t="shared" si="47"/>
        <v>0</v>
      </c>
      <c r="AD38" s="213">
        <f t="shared" si="47"/>
        <v>150000</v>
      </c>
      <c r="AE38" s="213">
        <f t="shared" si="47"/>
        <v>0</v>
      </c>
      <c r="AF38" s="213">
        <f t="shared" si="47"/>
        <v>742.60699999999997</v>
      </c>
      <c r="AG38" s="213">
        <f t="shared" si="47"/>
        <v>4000</v>
      </c>
      <c r="AH38" s="213">
        <f t="shared" si="47"/>
        <v>0</v>
      </c>
      <c r="AI38" s="213">
        <f t="shared" si="47"/>
        <v>3000</v>
      </c>
      <c r="AJ38" s="44">
        <f>AJ406</f>
        <v>3742.607</v>
      </c>
      <c r="AK38" s="213">
        <f t="shared" si="47"/>
        <v>168974</v>
      </c>
      <c r="AL38" s="44">
        <f t="shared" si="47"/>
        <v>100000</v>
      </c>
      <c r="AM38" s="44"/>
      <c r="AN38" s="44"/>
      <c r="AO38" s="44">
        <f t="shared" si="47"/>
        <v>100000</v>
      </c>
      <c r="AP38" s="44"/>
      <c r="AQ38" s="47"/>
      <c r="AR38" s="48">
        <f t="shared" si="39"/>
        <v>200257.39299999998</v>
      </c>
      <c r="AS38" s="81">
        <f t="shared" si="40"/>
        <v>0</v>
      </c>
    </row>
    <row r="39" spans="2:45" s="50" customFormat="1" ht="17.45" customHeight="1">
      <c r="B39" s="88" t="s">
        <v>104</v>
      </c>
      <c r="C39" s="102" t="s">
        <v>31</v>
      </c>
      <c r="D39" s="437">
        <f t="shared" ref="D39:J39" si="48">D411</f>
        <v>7</v>
      </c>
      <c r="E39" s="44">
        <f t="shared" si="48"/>
        <v>1</v>
      </c>
      <c r="F39" s="44">
        <f t="shared" si="48"/>
        <v>6000</v>
      </c>
      <c r="G39" s="44">
        <f t="shared" si="48"/>
        <v>6</v>
      </c>
      <c r="H39" s="44">
        <f t="shared" si="48"/>
        <v>42400</v>
      </c>
      <c r="I39" s="44">
        <f t="shared" si="48"/>
        <v>0</v>
      </c>
      <c r="J39" s="44">
        <f t="shared" si="48"/>
        <v>0</v>
      </c>
      <c r="K39" s="44" t="e">
        <f>K411</f>
        <v>#REF!</v>
      </c>
      <c r="L39" s="44" t="e">
        <f>L411</f>
        <v>#REF!</v>
      </c>
      <c r="M39" s="44" t="e">
        <f>M411</f>
        <v>#REF!</v>
      </c>
      <c r="N39" s="84"/>
      <c r="O39" s="84"/>
      <c r="P39" s="84"/>
      <c r="Q39" s="84"/>
      <c r="R39" s="84"/>
      <c r="S39" s="84"/>
      <c r="T39" s="84"/>
      <c r="U39" s="84"/>
      <c r="V39" s="84"/>
      <c r="W39" s="44">
        <f t="shared" ref="W39:AI39" si="49">W411</f>
        <v>168356</v>
      </c>
      <c r="X39" s="213" t="e">
        <f t="shared" si="49"/>
        <v>#REF!</v>
      </c>
      <c r="Y39" s="44">
        <f t="shared" si="49"/>
        <v>153900</v>
      </c>
      <c r="Z39" s="213">
        <f t="shared" si="49"/>
        <v>0</v>
      </c>
      <c r="AA39" s="44">
        <f t="shared" si="49"/>
        <v>153900</v>
      </c>
      <c r="AB39" s="213">
        <f t="shared" si="49"/>
        <v>82200</v>
      </c>
      <c r="AC39" s="213">
        <f t="shared" si="49"/>
        <v>0</v>
      </c>
      <c r="AD39" s="213">
        <f t="shared" si="49"/>
        <v>50000</v>
      </c>
      <c r="AE39" s="213">
        <f t="shared" si="49"/>
        <v>0</v>
      </c>
      <c r="AF39" s="213">
        <f t="shared" si="49"/>
        <v>22524.425999999999</v>
      </c>
      <c r="AG39" s="213">
        <f t="shared" si="49"/>
        <v>39000</v>
      </c>
      <c r="AH39" s="213">
        <f t="shared" si="49"/>
        <v>13100</v>
      </c>
      <c r="AI39" s="213">
        <f t="shared" si="49"/>
        <v>61866</v>
      </c>
      <c r="AJ39" s="44">
        <f>AJ411</f>
        <v>84390.426000000007</v>
      </c>
      <c r="AK39" s="213">
        <f>AK411</f>
        <v>48516</v>
      </c>
      <c r="AL39" s="44">
        <f>AL411</f>
        <v>48400</v>
      </c>
      <c r="AM39" s="44">
        <f>AM411</f>
        <v>20400</v>
      </c>
      <c r="AN39" s="44"/>
      <c r="AO39" s="44">
        <f>AO411</f>
        <v>28000</v>
      </c>
      <c r="AP39" s="44">
        <f>AP411</f>
        <v>0</v>
      </c>
      <c r="AQ39" s="47"/>
      <c r="AR39" s="48">
        <f t="shared" si="39"/>
        <v>21109.573999999993</v>
      </c>
      <c r="AS39" s="81">
        <f t="shared" si="40"/>
        <v>0</v>
      </c>
    </row>
    <row r="40" spans="2:45" s="50" customFormat="1" ht="45.95" customHeight="1">
      <c r="B40" s="88" t="s">
        <v>1063</v>
      </c>
      <c r="C40" s="351" t="s">
        <v>102</v>
      </c>
      <c r="D40" s="437">
        <f t="shared" ref="D40:J40" si="50">D425</f>
        <v>26</v>
      </c>
      <c r="E40" s="44">
        <f t="shared" si="50"/>
        <v>10</v>
      </c>
      <c r="F40" s="44">
        <f t="shared" si="50"/>
        <v>205000</v>
      </c>
      <c r="G40" s="44">
        <f t="shared" si="50"/>
        <v>10</v>
      </c>
      <c r="H40" s="44">
        <f t="shared" si="50"/>
        <v>161920</v>
      </c>
      <c r="I40" s="44">
        <f t="shared" si="50"/>
        <v>6</v>
      </c>
      <c r="J40" s="44">
        <f t="shared" si="50"/>
        <v>103000</v>
      </c>
      <c r="K40" s="44" t="e">
        <f t="shared" ref="K40:M40" si="51">K425</f>
        <v>#REF!</v>
      </c>
      <c r="L40" s="44" t="e">
        <f t="shared" si="51"/>
        <v>#REF!</v>
      </c>
      <c r="M40" s="44" t="e">
        <f t="shared" si="51"/>
        <v>#REF!</v>
      </c>
      <c r="N40" s="84"/>
      <c r="O40" s="84"/>
      <c r="P40" s="84"/>
      <c r="Q40" s="84"/>
      <c r="R40" s="84"/>
      <c r="S40" s="84"/>
      <c r="T40" s="84"/>
      <c r="U40" s="84"/>
      <c r="V40" s="84"/>
      <c r="W40" s="44">
        <f t="shared" ref="W40:AN40" si="52">W425</f>
        <v>2227709.5700000003</v>
      </c>
      <c r="X40" s="44"/>
      <c r="Y40" s="44">
        <f t="shared" si="52"/>
        <v>2218502.5700000003</v>
      </c>
      <c r="Z40" s="44">
        <f t="shared" si="52"/>
        <v>25000</v>
      </c>
      <c r="AA40" s="44">
        <f t="shared" si="52"/>
        <v>1013500</v>
      </c>
      <c r="AB40" s="213">
        <f t="shared" si="52"/>
        <v>684500</v>
      </c>
      <c r="AC40" s="213">
        <f t="shared" si="52"/>
        <v>278000</v>
      </c>
      <c r="AD40" s="213">
        <f t="shared" si="52"/>
        <v>0</v>
      </c>
      <c r="AE40" s="213">
        <f t="shared" si="52"/>
        <v>0</v>
      </c>
      <c r="AF40" s="213">
        <f t="shared" si="52"/>
        <v>63000</v>
      </c>
      <c r="AG40" s="213">
        <f t="shared" si="52"/>
        <v>187380</v>
      </c>
      <c r="AH40" s="213">
        <f t="shared" si="52"/>
        <v>37247.115000000005</v>
      </c>
      <c r="AI40" s="213">
        <f t="shared" si="52"/>
        <v>201080</v>
      </c>
      <c r="AJ40" s="44">
        <f>AJ425</f>
        <v>264080</v>
      </c>
      <c r="AK40" s="213">
        <f t="shared" si="52"/>
        <v>562920</v>
      </c>
      <c r="AL40" s="44">
        <f t="shared" si="52"/>
        <v>469920</v>
      </c>
      <c r="AM40" s="44">
        <f t="shared" si="52"/>
        <v>266820</v>
      </c>
      <c r="AN40" s="44">
        <f t="shared" si="52"/>
        <v>203100</v>
      </c>
      <c r="AO40" s="44"/>
      <c r="AP40" s="44"/>
      <c r="AQ40" s="47"/>
      <c r="AR40" s="48">
        <f t="shared" si="39"/>
        <v>279500</v>
      </c>
      <c r="AS40" s="81">
        <f t="shared" si="40"/>
        <v>0</v>
      </c>
    </row>
    <row r="41" spans="2:45" s="50" customFormat="1" ht="73.5" customHeight="1">
      <c r="B41" s="39">
        <v>11</v>
      </c>
      <c r="C41" s="351" t="s">
        <v>64</v>
      </c>
      <c r="D41" s="437">
        <f t="shared" ref="D41:J41" si="53">D488</f>
        <v>5</v>
      </c>
      <c r="E41" s="44">
        <f t="shared" si="53"/>
        <v>4</v>
      </c>
      <c r="F41" s="44">
        <f t="shared" si="53"/>
        <v>17500</v>
      </c>
      <c r="G41" s="44">
        <f t="shared" si="53"/>
        <v>1</v>
      </c>
      <c r="H41" s="44">
        <f t="shared" si="53"/>
        <v>7600</v>
      </c>
      <c r="I41" s="44">
        <f t="shared" si="53"/>
        <v>0</v>
      </c>
      <c r="J41" s="44">
        <f t="shared" si="53"/>
        <v>0</v>
      </c>
      <c r="K41" s="44">
        <f>K488</f>
        <v>0</v>
      </c>
      <c r="L41" s="44">
        <f>L488</f>
        <v>5</v>
      </c>
      <c r="M41" s="44">
        <f>M488</f>
        <v>0</v>
      </c>
      <c r="N41" s="84"/>
      <c r="O41" s="84"/>
      <c r="P41" s="84"/>
      <c r="Q41" s="84"/>
      <c r="R41" s="84"/>
      <c r="S41" s="84"/>
      <c r="T41" s="84"/>
      <c r="U41" s="84"/>
      <c r="V41" s="84"/>
      <c r="W41" s="44">
        <f t="shared" ref="W41:AM41" si="54">W488</f>
        <v>76314.539000000004</v>
      </c>
      <c r="X41" s="213"/>
      <c r="Y41" s="44">
        <f t="shared" si="54"/>
        <v>76314.539000000004</v>
      </c>
      <c r="Z41" s="213">
        <f t="shared" si="54"/>
        <v>0</v>
      </c>
      <c r="AA41" s="44">
        <f t="shared" si="54"/>
        <v>42600</v>
      </c>
      <c r="AB41" s="213">
        <f t="shared" si="54"/>
        <v>20000</v>
      </c>
      <c r="AC41" s="213">
        <f t="shared" si="54"/>
        <v>0</v>
      </c>
      <c r="AD41" s="213">
        <f t="shared" si="54"/>
        <v>0</v>
      </c>
      <c r="AE41" s="213">
        <f t="shared" si="54"/>
        <v>0</v>
      </c>
      <c r="AF41" s="213"/>
      <c r="AG41" s="213"/>
      <c r="AH41" s="213"/>
      <c r="AI41" s="213"/>
      <c r="AJ41" s="44"/>
      <c r="AK41" s="213">
        <f t="shared" si="54"/>
        <v>25100</v>
      </c>
      <c r="AL41" s="44">
        <f t="shared" si="54"/>
        <v>25100</v>
      </c>
      <c r="AM41" s="44">
        <f t="shared" si="54"/>
        <v>25100</v>
      </c>
      <c r="AN41" s="44"/>
      <c r="AO41" s="44"/>
      <c r="AP41" s="44"/>
      <c r="AQ41" s="47"/>
      <c r="AR41" s="48">
        <f t="shared" si="39"/>
        <v>17500</v>
      </c>
      <c r="AS41" s="81">
        <f t="shared" si="40"/>
        <v>0</v>
      </c>
    </row>
    <row r="42" spans="2:45" s="50" customFormat="1" ht="20.45" customHeight="1">
      <c r="B42" s="39">
        <v>12</v>
      </c>
      <c r="C42" s="102" t="s">
        <v>103</v>
      </c>
      <c r="D42" s="437">
        <f t="shared" ref="D42:J42" si="55">D503</f>
        <v>3</v>
      </c>
      <c r="E42" s="44">
        <f t="shared" si="55"/>
        <v>1</v>
      </c>
      <c r="F42" s="44">
        <f t="shared" si="55"/>
        <v>5000</v>
      </c>
      <c r="G42" s="44">
        <f t="shared" si="55"/>
        <v>1</v>
      </c>
      <c r="H42" s="44">
        <f t="shared" si="55"/>
        <v>13000</v>
      </c>
      <c r="I42" s="44">
        <f t="shared" si="55"/>
        <v>1</v>
      </c>
      <c r="J42" s="44">
        <f t="shared" si="55"/>
        <v>5341</v>
      </c>
      <c r="K42" s="44">
        <f>K503</f>
        <v>0</v>
      </c>
      <c r="L42" s="44">
        <f>L503</f>
        <v>3</v>
      </c>
      <c r="M42" s="44">
        <f>M503</f>
        <v>0</v>
      </c>
      <c r="N42" s="84"/>
      <c r="O42" s="84"/>
      <c r="P42" s="84"/>
      <c r="Q42" s="84"/>
      <c r="R42" s="84"/>
      <c r="S42" s="84"/>
      <c r="T42" s="84"/>
      <c r="U42" s="84"/>
      <c r="V42" s="84"/>
      <c r="W42" s="44">
        <f>W503</f>
        <v>78831</v>
      </c>
      <c r="X42" s="213">
        <f>X503</f>
        <v>14257</v>
      </c>
      <c r="Y42" s="44"/>
      <c r="Z42" s="213">
        <f t="shared" ref="Z42:AE42" si="56">Z503</f>
        <v>0</v>
      </c>
      <c r="AA42" s="44">
        <f t="shared" si="56"/>
        <v>53700</v>
      </c>
      <c r="AB42" s="213">
        <f t="shared" si="56"/>
        <v>15000</v>
      </c>
      <c r="AC42" s="213">
        <f t="shared" si="56"/>
        <v>24443</v>
      </c>
      <c r="AD42" s="213">
        <f t="shared" si="56"/>
        <v>14257</v>
      </c>
      <c r="AE42" s="213">
        <f t="shared" si="56"/>
        <v>0</v>
      </c>
      <c r="AF42" s="213"/>
      <c r="AG42" s="213">
        <f>AG503</f>
        <v>0</v>
      </c>
      <c r="AH42" s="213">
        <f>AH503</f>
        <v>0</v>
      </c>
      <c r="AI42" s="213">
        <f>AI503</f>
        <v>11236</v>
      </c>
      <c r="AJ42" s="44">
        <f>AJ503</f>
        <v>11236</v>
      </c>
      <c r="AK42" s="213">
        <f t="shared" ref="AK42:AP42" si="57">AK503</f>
        <v>33341</v>
      </c>
      <c r="AL42" s="44">
        <f t="shared" si="57"/>
        <v>23341</v>
      </c>
      <c r="AM42" s="44">
        <f t="shared" si="57"/>
        <v>5000</v>
      </c>
      <c r="AN42" s="44">
        <f t="shared" si="57"/>
        <v>14000</v>
      </c>
      <c r="AO42" s="44">
        <f t="shared" si="57"/>
        <v>4341</v>
      </c>
      <c r="AP42" s="44">
        <f t="shared" si="57"/>
        <v>0</v>
      </c>
      <c r="AQ42" s="47"/>
      <c r="AR42" s="48">
        <f t="shared" si="39"/>
        <v>19123</v>
      </c>
      <c r="AS42" s="81">
        <f t="shared" si="40"/>
        <v>0</v>
      </c>
    </row>
    <row r="43" spans="2:45" s="72" customFormat="1" ht="49.5" customHeight="1">
      <c r="B43" s="36"/>
      <c r="C43" s="368" t="s">
        <v>90</v>
      </c>
      <c r="D43" s="247"/>
      <c r="E43" s="43"/>
      <c r="F43" s="43"/>
      <c r="G43" s="43"/>
      <c r="H43" s="43"/>
      <c r="I43" s="43"/>
      <c r="J43" s="43"/>
      <c r="K43" s="43"/>
      <c r="L43" s="43"/>
      <c r="M43" s="233"/>
      <c r="N43" s="80"/>
      <c r="O43" s="80"/>
      <c r="P43" s="80"/>
      <c r="Q43" s="80"/>
      <c r="R43" s="80"/>
      <c r="S43" s="80"/>
      <c r="T43" s="80"/>
      <c r="U43" s="80"/>
      <c r="V43" s="80"/>
      <c r="W43" s="55">
        <f t="shared" ref="W43:AP43" si="58">W83+W365+W489+W341+W268</f>
        <v>1689478.8220000002</v>
      </c>
      <c r="X43" s="55" t="e">
        <f t="shared" si="58"/>
        <v>#REF!</v>
      </c>
      <c r="Y43" s="55">
        <f t="shared" si="58"/>
        <v>1642101.8220000002</v>
      </c>
      <c r="Z43" s="55">
        <f t="shared" si="58"/>
        <v>0</v>
      </c>
      <c r="AA43" s="55">
        <f t="shared" si="58"/>
        <v>1124240</v>
      </c>
      <c r="AB43" s="215">
        <f t="shared" si="58"/>
        <v>20000</v>
      </c>
      <c r="AC43" s="215">
        <f t="shared" si="58"/>
        <v>1501770</v>
      </c>
      <c r="AD43" s="215">
        <f t="shared" si="58"/>
        <v>443620</v>
      </c>
      <c r="AE43" s="215">
        <f t="shared" si="58"/>
        <v>0</v>
      </c>
      <c r="AF43" s="215">
        <f t="shared" si="58"/>
        <v>87107.756999999998</v>
      </c>
      <c r="AG43" s="215">
        <f t="shared" si="58"/>
        <v>277400</v>
      </c>
      <c r="AH43" s="215">
        <f t="shared" si="58"/>
        <v>89091.263000000006</v>
      </c>
      <c r="AI43" s="215">
        <f t="shared" si="58"/>
        <v>382798</v>
      </c>
      <c r="AJ43" s="55">
        <f t="shared" si="58"/>
        <v>469905.75699999998</v>
      </c>
      <c r="AK43" s="215">
        <f t="shared" si="58"/>
        <v>399720</v>
      </c>
      <c r="AL43" s="55">
        <f t="shared" si="58"/>
        <v>394480</v>
      </c>
      <c r="AM43" s="55">
        <f t="shared" si="58"/>
        <v>17500</v>
      </c>
      <c r="AN43" s="55">
        <f t="shared" si="58"/>
        <v>249150</v>
      </c>
      <c r="AO43" s="55">
        <f t="shared" si="58"/>
        <v>127830</v>
      </c>
      <c r="AP43" s="55">
        <f t="shared" si="58"/>
        <v>0</v>
      </c>
      <c r="AQ43" s="55"/>
      <c r="AR43" s="48">
        <f t="shared" si="39"/>
        <v>259854.24300000002</v>
      </c>
      <c r="AS43" s="81">
        <f t="shared" si="40"/>
        <v>0</v>
      </c>
    </row>
    <row r="44" spans="2:45" s="50" customFormat="1">
      <c r="B44" s="339"/>
      <c r="C44" s="369"/>
      <c r="D44" s="93"/>
      <c r="E44" s="47"/>
      <c r="F44" s="47"/>
      <c r="G44" s="47"/>
      <c r="H44" s="47"/>
      <c r="I44" s="47"/>
      <c r="J44" s="47"/>
      <c r="K44" s="47"/>
      <c r="L44" s="47"/>
      <c r="M44" s="88"/>
      <c r="N44" s="39"/>
      <c r="O44" s="39"/>
      <c r="P44" s="39"/>
      <c r="Q44" s="39"/>
      <c r="R44" s="39"/>
      <c r="S44" s="39"/>
      <c r="T44" s="39"/>
      <c r="U44" s="39"/>
      <c r="V44" s="39"/>
      <c r="W44" s="47"/>
      <c r="X44" s="120"/>
      <c r="Y44" s="47"/>
      <c r="Z44" s="120"/>
      <c r="AA44" s="47"/>
      <c r="AB44" s="120"/>
      <c r="AC44" s="120"/>
      <c r="AD44" s="120"/>
      <c r="AE44" s="120"/>
      <c r="AF44" s="120"/>
      <c r="AG44" s="120"/>
      <c r="AH44" s="120"/>
      <c r="AI44" s="120"/>
      <c r="AJ44" s="47"/>
      <c r="AK44" s="120"/>
      <c r="AL44" s="47"/>
      <c r="AM44" s="47"/>
      <c r="AN44" s="47"/>
      <c r="AO44" s="47"/>
      <c r="AP44" s="47"/>
      <c r="AQ44" s="47"/>
      <c r="AR44" s="48"/>
      <c r="AS44" s="81"/>
    </row>
    <row r="45" spans="2:45" s="50" customFormat="1" ht="18.95" customHeight="1">
      <c r="B45" s="339"/>
      <c r="C45" s="370" t="s">
        <v>92</v>
      </c>
      <c r="D45" s="93"/>
      <c r="E45" s="47"/>
      <c r="F45" s="47"/>
      <c r="G45" s="47"/>
      <c r="H45" s="47"/>
      <c r="I45" s="47"/>
      <c r="J45" s="47"/>
      <c r="K45" s="47"/>
      <c r="L45" s="47"/>
      <c r="M45" s="88"/>
      <c r="N45" s="39"/>
      <c r="O45" s="39"/>
      <c r="P45" s="39"/>
      <c r="Q45" s="39"/>
      <c r="R45" s="39"/>
      <c r="S45" s="39"/>
      <c r="T45" s="39"/>
      <c r="U45" s="39"/>
      <c r="V45" s="39"/>
      <c r="W45" s="47"/>
      <c r="X45" s="120"/>
      <c r="Y45" s="47"/>
      <c r="Z45" s="120"/>
      <c r="AA45" s="47"/>
      <c r="AB45" s="120"/>
      <c r="AC45" s="120"/>
      <c r="AD45" s="120"/>
      <c r="AE45" s="120"/>
      <c r="AF45" s="120"/>
      <c r="AG45" s="120"/>
      <c r="AH45" s="120"/>
      <c r="AI45" s="120"/>
      <c r="AJ45" s="47"/>
      <c r="AK45" s="120"/>
      <c r="AL45" s="47"/>
      <c r="AM45" s="47"/>
      <c r="AN45" s="47"/>
      <c r="AO45" s="47"/>
      <c r="AP45" s="47"/>
      <c r="AQ45" s="47"/>
      <c r="AR45" s="48"/>
      <c r="AS45" s="81"/>
    </row>
    <row r="46" spans="2:45" s="50" customFormat="1" ht="21.95" customHeight="1">
      <c r="B46" s="371" t="s">
        <v>3</v>
      </c>
      <c r="C46" s="372" t="s">
        <v>842</v>
      </c>
      <c r="D46" s="247">
        <f t="shared" ref="D46:M46" si="59">D47</f>
        <v>0</v>
      </c>
      <c r="E46" s="43">
        <f t="shared" si="59"/>
        <v>0</v>
      </c>
      <c r="F46" s="43">
        <f t="shared" si="59"/>
        <v>0</v>
      </c>
      <c r="G46" s="43">
        <f t="shared" si="59"/>
        <v>0</v>
      </c>
      <c r="H46" s="43">
        <f t="shared" si="59"/>
        <v>0</v>
      </c>
      <c r="I46" s="43">
        <f t="shared" si="59"/>
        <v>0</v>
      </c>
      <c r="J46" s="43">
        <f t="shared" si="59"/>
        <v>0</v>
      </c>
      <c r="K46" s="43">
        <f t="shared" si="59"/>
        <v>0</v>
      </c>
      <c r="L46" s="43">
        <f t="shared" si="59"/>
        <v>0</v>
      </c>
      <c r="M46" s="43">
        <f t="shared" si="59"/>
        <v>0</v>
      </c>
      <c r="N46" s="39"/>
      <c r="O46" s="39"/>
      <c r="P46" s="39"/>
      <c r="Q46" s="39"/>
      <c r="R46" s="39"/>
      <c r="S46" s="39"/>
      <c r="T46" s="39"/>
      <c r="U46" s="39"/>
      <c r="V46" s="39"/>
      <c r="W46" s="43">
        <f t="shared" ref="W46:Z46" si="60">W47</f>
        <v>62372</v>
      </c>
      <c r="X46" s="43">
        <f t="shared" si="60"/>
        <v>0</v>
      </c>
      <c r="Y46" s="43">
        <f t="shared" si="60"/>
        <v>56000</v>
      </c>
      <c r="Z46" s="43">
        <f t="shared" si="60"/>
        <v>0</v>
      </c>
      <c r="AA46" s="43">
        <f t="shared" ref="AA46:AE46" si="61">AA47</f>
        <v>56000</v>
      </c>
      <c r="AB46" s="235">
        <f t="shared" si="61"/>
        <v>56000</v>
      </c>
      <c r="AC46" s="235">
        <f t="shared" si="61"/>
        <v>0</v>
      </c>
      <c r="AD46" s="235">
        <f t="shared" si="61"/>
        <v>0</v>
      </c>
      <c r="AE46" s="235">
        <f t="shared" si="61"/>
        <v>0</v>
      </c>
      <c r="AF46" s="235">
        <f>AF47</f>
        <v>7723</v>
      </c>
      <c r="AG46" s="120"/>
      <c r="AH46" s="120"/>
      <c r="AI46" s="235">
        <f t="shared" ref="AI46:AK46" si="62">AI47</f>
        <v>29526</v>
      </c>
      <c r="AJ46" s="43">
        <f t="shared" si="62"/>
        <v>37249</v>
      </c>
      <c r="AK46" s="235">
        <f t="shared" si="62"/>
        <v>13000</v>
      </c>
      <c r="AL46" s="43">
        <f>AL47</f>
        <v>13000</v>
      </c>
      <c r="AM46" s="43">
        <f t="shared" ref="AM46:AP46" si="63">AM47</f>
        <v>13000</v>
      </c>
      <c r="AN46" s="43">
        <f t="shared" si="63"/>
        <v>0</v>
      </c>
      <c r="AO46" s="43">
        <f t="shared" si="63"/>
        <v>0</v>
      </c>
      <c r="AP46" s="43">
        <f t="shared" si="63"/>
        <v>0</v>
      </c>
      <c r="AQ46" s="47"/>
      <c r="AR46" s="48"/>
      <c r="AS46" s="81"/>
    </row>
    <row r="47" spans="2:45" s="50" customFormat="1" ht="76.5" customHeight="1">
      <c r="B47" s="337"/>
      <c r="C47" s="351" t="s">
        <v>843</v>
      </c>
      <c r="D47" s="93"/>
      <c r="E47" s="47"/>
      <c r="F47" s="47"/>
      <c r="G47" s="47"/>
      <c r="H47" s="47"/>
      <c r="I47" s="47"/>
      <c r="J47" s="47"/>
      <c r="K47" s="47"/>
      <c r="L47" s="47"/>
      <c r="M47" s="88"/>
      <c r="N47" s="338" t="s">
        <v>844</v>
      </c>
      <c r="O47" s="338" t="s">
        <v>109</v>
      </c>
      <c r="P47" s="338" t="s">
        <v>845</v>
      </c>
      <c r="Q47" s="338">
        <v>7814013</v>
      </c>
      <c r="R47" s="39"/>
      <c r="S47" s="39"/>
      <c r="T47" s="39" t="s">
        <v>114</v>
      </c>
      <c r="U47" s="39"/>
      <c r="V47" s="39" t="s">
        <v>846</v>
      </c>
      <c r="W47" s="47">
        <v>62372</v>
      </c>
      <c r="X47" s="120"/>
      <c r="Y47" s="47">
        <v>56000</v>
      </c>
      <c r="Z47" s="120"/>
      <c r="AA47" s="59">
        <f>AB47+AC47+AD47+AE47</f>
        <v>56000</v>
      </c>
      <c r="AB47" s="120">
        <v>56000</v>
      </c>
      <c r="AC47" s="120"/>
      <c r="AD47" s="120"/>
      <c r="AE47" s="120"/>
      <c r="AF47" s="120">
        <v>7723</v>
      </c>
      <c r="AG47" s="120"/>
      <c r="AH47" s="120"/>
      <c r="AI47" s="120">
        <f>7026+22500</f>
        <v>29526</v>
      </c>
      <c r="AJ47" s="47">
        <f>AF47+AI47</f>
        <v>37249</v>
      </c>
      <c r="AK47" s="120">
        <v>13000</v>
      </c>
      <c r="AL47" s="47">
        <f>AM47+AN47+AO47</f>
        <v>13000</v>
      </c>
      <c r="AM47" s="47">
        <v>13000</v>
      </c>
      <c r="AN47" s="47"/>
      <c r="AO47" s="47"/>
      <c r="AP47" s="47"/>
      <c r="AQ47" s="47"/>
      <c r="AR47" s="48"/>
      <c r="AS47" s="81"/>
    </row>
    <row r="48" spans="2:45" s="50" customFormat="1" ht="63" customHeight="1">
      <c r="B48" s="36" t="s">
        <v>13</v>
      </c>
      <c r="C48" s="367" t="s">
        <v>100</v>
      </c>
      <c r="D48" s="247">
        <f>D49</f>
        <v>0</v>
      </c>
      <c r="E48" s="43">
        <f>E49</f>
        <v>0</v>
      </c>
      <c r="F48" s="43"/>
      <c r="G48" s="47"/>
      <c r="H48" s="47"/>
      <c r="I48" s="47"/>
      <c r="J48" s="47"/>
      <c r="K48" s="43">
        <f>K49</f>
        <v>0</v>
      </c>
      <c r="L48" s="47"/>
      <c r="M48" s="88"/>
      <c r="N48" s="39"/>
      <c r="O48" s="39"/>
      <c r="P48" s="39"/>
      <c r="Q48" s="39"/>
      <c r="R48" s="39"/>
      <c r="S48" s="39"/>
      <c r="T48" s="39"/>
      <c r="U48" s="39"/>
      <c r="V48" s="39"/>
      <c r="W48" s="56">
        <v>212642</v>
      </c>
      <c r="X48" s="234"/>
      <c r="Y48" s="56">
        <v>212642</v>
      </c>
      <c r="Z48" s="234"/>
      <c r="AA48" s="56">
        <f>AA49+AA57</f>
        <v>212642</v>
      </c>
      <c r="AB48" s="234">
        <v>100000</v>
      </c>
      <c r="AC48" s="234">
        <v>100000</v>
      </c>
      <c r="AD48" s="234"/>
      <c r="AE48" s="234"/>
      <c r="AF48" s="234">
        <f t="shared" ref="AF48:AP48" si="64">AF49+AF57</f>
        <v>69038</v>
      </c>
      <c r="AG48" s="234">
        <f t="shared" si="64"/>
        <v>40811</v>
      </c>
      <c r="AH48" s="234">
        <f t="shared" si="64"/>
        <v>0</v>
      </c>
      <c r="AI48" s="234">
        <f t="shared" si="64"/>
        <v>54144</v>
      </c>
      <c r="AJ48" s="56">
        <f t="shared" si="64"/>
        <v>123182</v>
      </c>
      <c r="AK48" s="234">
        <f t="shared" si="64"/>
        <v>40000</v>
      </c>
      <c r="AL48" s="56">
        <f t="shared" si="64"/>
        <v>40000</v>
      </c>
      <c r="AM48" s="56">
        <f t="shared" si="64"/>
        <v>20000</v>
      </c>
      <c r="AN48" s="56">
        <f t="shared" si="64"/>
        <v>20000</v>
      </c>
      <c r="AO48" s="56">
        <f t="shared" si="64"/>
        <v>0</v>
      </c>
      <c r="AP48" s="56">
        <f t="shared" si="64"/>
        <v>0</v>
      </c>
      <c r="AQ48" s="47"/>
      <c r="AR48" s="48">
        <f>AA48-(AF48+AI48+AL48)</f>
        <v>49460</v>
      </c>
      <c r="AS48" s="81">
        <f>AL48-(AM48+AN48+AO48)</f>
        <v>0</v>
      </c>
    </row>
    <row r="49" spans="1:45" s="50" customFormat="1" ht="22.5" customHeight="1">
      <c r="B49" s="36" t="s">
        <v>855</v>
      </c>
      <c r="C49" s="340" t="s">
        <v>49</v>
      </c>
      <c r="D49" s="247">
        <f>SUM(D53:D56)</f>
        <v>0</v>
      </c>
      <c r="E49" s="43">
        <f>SUM(E53:E56)</f>
        <v>0</v>
      </c>
      <c r="F49" s="43"/>
      <c r="G49" s="47"/>
      <c r="H49" s="47"/>
      <c r="I49" s="47"/>
      <c r="J49" s="47"/>
      <c r="K49" s="43">
        <f>SUM(K53:K56)</f>
        <v>0</v>
      </c>
      <c r="L49" s="47"/>
      <c r="M49" s="88"/>
      <c r="N49" s="39"/>
      <c r="O49" s="39"/>
      <c r="P49" s="39"/>
      <c r="Q49" s="39"/>
      <c r="R49" s="39"/>
      <c r="S49" s="39"/>
      <c r="T49" s="39"/>
      <c r="U49" s="39"/>
      <c r="V49" s="39"/>
      <c r="W49" s="54">
        <f>SUM(W53:W56)</f>
        <v>1500</v>
      </c>
      <c r="X49" s="214">
        <f>SUM(X53:X56)</f>
        <v>1500</v>
      </c>
      <c r="Y49" s="54">
        <f>SUM(Y53:Y56)</f>
        <v>1500</v>
      </c>
      <c r="Z49" s="234"/>
      <c r="AA49" s="56">
        <f>AB49+AC49</f>
        <v>100000</v>
      </c>
      <c r="AB49" s="234">
        <v>50000</v>
      </c>
      <c r="AC49" s="234">
        <v>50000</v>
      </c>
      <c r="AD49" s="234"/>
      <c r="AE49" s="234"/>
      <c r="AF49" s="234">
        <f>10310+23070</f>
        <v>33380</v>
      </c>
      <c r="AG49" s="234">
        <f>10890+10490</f>
        <v>21380</v>
      </c>
      <c r="AH49" s="234"/>
      <c r="AI49" s="234">
        <f>10890+10490</f>
        <v>21380</v>
      </c>
      <c r="AJ49" s="43">
        <f>AF49+AI49</f>
        <v>54760</v>
      </c>
      <c r="AK49" s="318">
        <f>AL49</f>
        <v>20000</v>
      </c>
      <c r="AL49" s="56">
        <f>AM49+AN49+AO49</f>
        <v>20000</v>
      </c>
      <c r="AM49" s="56">
        <v>10000</v>
      </c>
      <c r="AN49" s="56">
        <v>10000</v>
      </c>
      <c r="AO49" s="57"/>
      <c r="AP49" s="57"/>
      <c r="AQ49" s="47"/>
      <c r="AR49" s="48">
        <f>AA49-(AF49+AI49+AL49)</f>
        <v>25240</v>
      </c>
      <c r="AS49" s="81">
        <f>AL49-(AM49+AN49+AO49)</f>
        <v>0</v>
      </c>
    </row>
    <row r="50" spans="1:45" s="50" customFormat="1" ht="24.6" customHeight="1">
      <c r="B50" s="36"/>
      <c r="C50" s="340" t="s">
        <v>23</v>
      </c>
      <c r="D50" s="93"/>
      <c r="E50" s="47"/>
      <c r="F50" s="47"/>
      <c r="G50" s="47"/>
      <c r="H50" s="47"/>
      <c r="I50" s="47"/>
      <c r="J50" s="47"/>
      <c r="K50" s="47"/>
      <c r="L50" s="47"/>
      <c r="M50" s="88"/>
      <c r="N50" s="39"/>
      <c r="O50" s="39"/>
      <c r="P50" s="39"/>
      <c r="Q50" s="39"/>
      <c r="R50" s="39"/>
      <c r="S50" s="39"/>
      <c r="T50" s="39"/>
      <c r="U50" s="39"/>
      <c r="V50" s="39"/>
      <c r="W50" s="56"/>
      <c r="X50" s="234"/>
      <c r="Y50" s="56"/>
      <c r="Z50" s="234"/>
      <c r="AA50" s="56"/>
      <c r="AB50" s="234"/>
      <c r="AC50" s="234"/>
      <c r="AD50" s="234"/>
      <c r="AE50" s="234"/>
      <c r="AF50" s="234"/>
      <c r="AG50" s="234"/>
      <c r="AH50" s="234"/>
      <c r="AI50" s="234"/>
      <c r="AJ50" s="56"/>
      <c r="AK50" s="318"/>
      <c r="AL50" s="57"/>
      <c r="AM50" s="57"/>
      <c r="AN50" s="57"/>
      <c r="AO50" s="57"/>
      <c r="AP50" s="57"/>
      <c r="AQ50" s="47"/>
      <c r="AR50" s="48">
        <f>AA50-(AF50+AI50+AL50)</f>
        <v>0</v>
      </c>
      <c r="AS50" s="81">
        <f>AL50-(AM50+AN50+AO50)</f>
        <v>0</v>
      </c>
    </row>
    <row r="51" spans="1:45" s="50" customFormat="1" ht="48.75" customHeight="1">
      <c r="B51" s="237">
        <v>1</v>
      </c>
      <c r="C51" s="345" t="s">
        <v>1029</v>
      </c>
      <c r="D51" s="93"/>
      <c r="E51" s="47"/>
      <c r="F51" s="47"/>
      <c r="G51" s="47"/>
      <c r="H51" s="47"/>
      <c r="I51" s="47"/>
      <c r="J51" s="47"/>
      <c r="K51" s="47"/>
      <c r="L51" s="47"/>
      <c r="M51" s="88"/>
      <c r="N51" s="39" t="s">
        <v>1030</v>
      </c>
      <c r="O51" s="39" t="s">
        <v>109</v>
      </c>
      <c r="P51" s="39" t="s">
        <v>35</v>
      </c>
      <c r="Q51" s="39">
        <v>7914350</v>
      </c>
      <c r="R51" s="39"/>
      <c r="S51" s="39"/>
      <c r="T51" s="39">
        <v>2023</v>
      </c>
      <c r="U51" s="39"/>
      <c r="V51" s="39" t="s">
        <v>1050</v>
      </c>
      <c r="W51" s="68">
        <v>1269</v>
      </c>
      <c r="X51" s="234"/>
      <c r="Y51" s="68">
        <v>1269</v>
      </c>
      <c r="Z51" s="234"/>
      <c r="AA51" s="68">
        <v>1200</v>
      </c>
      <c r="AB51" s="234"/>
      <c r="AC51" s="234"/>
      <c r="AD51" s="234"/>
      <c r="AE51" s="234"/>
      <c r="AF51" s="234"/>
      <c r="AG51" s="234"/>
      <c r="AH51" s="234"/>
      <c r="AI51" s="250">
        <v>100</v>
      </c>
      <c r="AJ51" s="47">
        <f>AF51+AI51</f>
        <v>100</v>
      </c>
      <c r="AK51" s="120">
        <v>1100</v>
      </c>
      <c r="AL51" s="47">
        <f>AM51+AN51+AO51</f>
        <v>1100</v>
      </c>
      <c r="AM51" s="58">
        <v>1100</v>
      </c>
      <c r="AN51" s="57"/>
      <c r="AO51" s="57"/>
      <c r="AP51" s="57"/>
      <c r="AQ51" s="47"/>
      <c r="AR51" s="48"/>
      <c r="AS51" s="81"/>
    </row>
    <row r="52" spans="1:45" s="50" customFormat="1" ht="79.5" customHeight="1">
      <c r="B52" s="237">
        <v>2</v>
      </c>
      <c r="C52" s="345" t="s">
        <v>689</v>
      </c>
      <c r="D52" s="159"/>
      <c r="E52" s="119"/>
      <c r="F52" s="119"/>
      <c r="G52" s="119"/>
      <c r="H52" s="119"/>
      <c r="I52" s="43"/>
      <c r="J52" s="43"/>
      <c r="K52" s="47"/>
      <c r="L52" s="47"/>
      <c r="M52" s="39"/>
      <c r="N52" s="39" t="s">
        <v>276</v>
      </c>
      <c r="O52" s="39" t="s">
        <v>109</v>
      </c>
      <c r="P52" s="41" t="s">
        <v>149</v>
      </c>
      <c r="Q52" s="39">
        <v>7967220</v>
      </c>
      <c r="R52" s="39"/>
      <c r="S52" s="39"/>
      <c r="T52" s="93" t="s">
        <v>113</v>
      </c>
      <c r="U52" s="39"/>
      <c r="V52" s="39" t="s">
        <v>995</v>
      </c>
      <c r="W52" s="47">
        <v>1800</v>
      </c>
      <c r="X52" s="47">
        <v>1800</v>
      </c>
      <c r="Y52" s="47">
        <v>1800</v>
      </c>
      <c r="Z52" s="120"/>
      <c r="AA52" s="47">
        <v>1800</v>
      </c>
      <c r="AB52" s="120"/>
      <c r="AC52" s="120"/>
      <c r="AD52" s="120"/>
      <c r="AE52" s="120"/>
      <c r="AF52" s="120"/>
      <c r="AG52" s="120"/>
      <c r="AH52" s="120"/>
      <c r="AI52" s="120"/>
      <c r="AJ52" s="47"/>
      <c r="AK52" s="120">
        <v>1800</v>
      </c>
      <c r="AL52" s="47">
        <f>AM52+AN52+AO52</f>
        <v>1800</v>
      </c>
      <c r="AM52" s="47">
        <v>1800</v>
      </c>
      <c r="AN52" s="47"/>
      <c r="AO52" s="47"/>
      <c r="AP52" s="47"/>
      <c r="AQ52" s="330">
        <f>AL52-(AM52+AN52+AO52)</f>
        <v>0</v>
      </c>
    </row>
    <row r="53" spans="1:45" s="50" customFormat="1" ht="65.45" customHeight="1">
      <c r="B53" s="237">
        <v>3</v>
      </c>
      <c r="C53" s="102" t="s">
        <v>992</v>
      </c>
      <c r="D53" s="93"/>
      <c r="E53" s="47"/>
      <c r="F53" s="47"/>
      <c r="G53" s="47"/>
      <c r="H53" s="47"/>
      <c r="I53" s="47"/>
      <c r="J53" s="47"/>
      <c r="K53" s="47"/>
      <c r="L53" s="47"/>
      <c r="M53" s="88"/>
      <c r="N53" s="39" t="s">
        <v>540</v>
      </c>
      <c r="O53" s="39" t="s">
        <v>542</v>
      </c>
      <c r="P53" s="39" t="s">
        <v>541</v>
      </c>
      <c r="Q53" s="39">
        <v>7920454</v>
      </c>
      <c r="R53" s="39"/>
      <c r="S53" s="39"/>
      <c r="T53" s="90" t="s">
        <v>115</v>
      </c>
      <c r="U53" s="39"/>
      <c r="V53" s="39" t="s">
        <v>1028</v>
      </c>
      <c r="W53" s="47">
        <v>500</v>
      </c>
      <c r="X53" s="47">
        <v>500</v>
      </c>
      <c r="Y53" s="47">
        <v>500</v>
      </c>
      <c r="Z53" s="234"/>
      <c r="AA53" s="47">
        <v>500</v>
      </c>
      <c r="AB53" s="120"/>
      <c r="AC53" s="234"/>
      <c r="AD53" s="234"/>
      <c r="AE53" s="234"/>
      <c r="AF53" s="234"/>
      <c r="AG53" s="234"/>
      <c r="AH53" s="234"/>
      <c r="AI53" s="234"/>
      <c r="AJ53" s="47">
        <f>AF53+AI53</f>
        <v>0</v>
      </c>
      <c r="AK53" s="120">
        <v>500</v>
      </c>
      <c r="AL53" s="47">
        <f>AM53+AN53+AO53</f>
        <v>500</v>
      </c>
      <c r="AM53" s="47">
        <v>500</v>
      </c>
      <c r="AN53" s="57"/>
      <c r="AO53" s="57"/>
      <c r="AP53" s="57"/>
      <c r="AQ53" s="47"/>
      <c r="AR53" s="48">
        <f t="shared" ref="AR53:AR64" si="65">AA53-(AF53+AI53+AL53)</f>
        <v>0</v>
      </c>
      <c r="AS53" s="81">
        <f t="shared" ref="AS53:AS60" si="66">AL53-(AM53+AN53+AO53)</f>
        <v>0</v>
      </c>
    </row>
    <row r="54" spans="1:45" s="50" customFormat="1" ht="68.099999999999994" customHeight="1">
      <c r="B54" s="237">
        <v>4</v>
      </c>
      <c r="C54" s="102" t="s">
        <v>993</v>
      </c>
      <c r="D54" s="93"/>
      <c r="E54" s="47"/>
      <c r="F54" s="47"/>
      <c r="G54" s="47"/>
      <c r="H54" s="47"/>
      <c r="I54" s="47"/>
      <c r="J54" s="47"/>
      <c r="K54" s="47"/>
      <c r="L54" s="47"/>
      <c r="M54" s="88"/>
      <c r="N54" s="39" t="s">
        <v>540</v>
      </c>
      <c r="O54" s="39" t="s">
        <v>542</v>
      </c>
      <c r="P54" s="39" t="s">
        <v>541</v>
      </c>
      <c r="Q54" s="39">
        <v>7915931</v>
      </c>
      <c r="R54" s="39"/>
      <c r="S54" s="39"/>
      <c r="T54" s="90" t="s">
        <v>115</v>
      </c>
      <c r="U54" s="39"/>
      <c r="V54" s="39" t="s">
        <v>997</v>
      </c>
      <c r="W54" s="47">
        <v>500</v>
      </c>
      <c r="X54" s="47">
        <v>500</v>
      </c>
      <c r="Y54" s="47">
        <v>500</v>
      </c>
      <c r="Z54" s="234"/>
      <c r="AA54" s="47">
        <v>500</v>
      </c>
      <c r="AB54" s="120"/>
      <c r="AC54" s="234"/>
      <c r="AD54" s="234"/>
      <c r="AE54" s="234"/>
      <c r="AF54" s="234"/>
      <c r="AG54" s="234"/>
      <c r="AH54" s="234"/>
      <c r="AI54" s="234"/>
      <c r="AJ54" s="47">
        <f>AF54+AI54</f>
        <v>0</v>
      </c>
      <c r="AK54" s="120">
        <v>500</v>
      </c>
      <c r="AL54" s="47">
        <f t="shared" ref="AL54:AL55" si="67">AM54+AN54+AO54</f>
        <v>500</v>
      </c>
      <c r="AM54" s="47">
        <v>500</v>
      </c>
      <c r="AN54" s="57"/>
      <c r="AO54" s="57"/>
      <c r="AP54" s="57"/>
      <c r="AQ54" s="47"/>
      <c r="AR54" s="48">
        <f t="shared" si="65"/>
        <v>0</v>
      </c>
      <c r="AS54" s="81">
        <f t="shared" si="66"/>
        <v>0</v>
      </c>
    </row>
    <row r="55" spans="1:45" s="50" customFormat="1" ht="66.95" customHeight="1">
      <c r="B55" s="237">
        <v>5</v>
      </c>
      <c r="C55" s="102" t="s">
        <v>994</v>
      </c>
      <c r="D55" s="93"/>
      <c r="E55" s="47"/>
      <c r="F55" s="47"/>
      <c r="G55" s="47"/>
      <c r="H55" s="47"/>
      <c r="I55" s="47"/>
      <c r="J55" s="47"/>
      <c r="K55" s="47"/>
      <c r="L55" s="47"/>
      <c r="M55" s="88"/>
      <c r="N55" s="39" t="s">
        <v>540</v>
      </c>
      <c r="O55" s="39" t="s">
        <v>542</v>
      </c>
      <c r="P55" s="39" t="s">
        <v>541</v>
      </c>
      <c r="Q55" s="39"/>
      <c r="R55" s="39"/>
      <c r="S55" s="39"/>
      <c r="T55" s="90" t="s">
        <v>115</v>
      </c>
      <c r="U55" s="39"/>
      <c r="V55" s="39" t="s">
        <v>996</v>
      </c>
      <c r="W55" s="47">
        <v>500</v>
      </c>
      <c r="X55" s="47">
        <v>500</v>
      </c>
      <c r="Y55" s="47">
        <v>500</v>
      </c>
      <c r="Z55" s="234"/>
      <c r="AA55" s="47">
        <v>500</v>
      </c>
      <c r="AB55" s="120"/>
      <c r="AC55" s="234"/>
      <c r="AD55" s="234"/>
      <c r="AE55" s="234"/>
      <c r="AF55" s="234"/>
      <c r="AG55" s="234"/>
      <c r="AH55" s="234"/>
      <c r="AI55" s="234"/>
      <c r="AJ55" s="47">
        <f>AF55+AI55</f>
        <v>0</v>
      </c>
      <c r="AK55" s="120">
        <v>500</v>
      </c>
      <c r="AL55" s="47">
        <f t="shared" si="67"/>
        <v>500</v>
      </c>
      <c r="AM55" s="47">
        <v>500</v>
      </c>
      <c r="AN55" s="57"/>
      <c r="AO55" s="57"/>
      <c r="AP55" s="57"/>
      <c r="AQ55" s="47"/>
      <c r="AR55" s="48">
        <f t="shared" si="65"/>
        <v>0</v>
      </c>
      <c r="AS55" s="81">
        <f t="shared" si="66"/>
        <v>0</v>
      </c>
    </row>
    <row r="56" spans="1:45" s="50" customFormat="1" ht="21" customHeight="1">
      <c r="B56" s="237">
        <v>6</v>
      </c>
      <c r="C56" s="345" t="s">
        <v>531</v>
      </c>
      <c r="D56" s="93"/>
      <c r="E56" s="47"/>
      <c r="F56" s="47"/>
      <c r="G56" s="47"/>
      <c r="H56" s="47"/>
      <c r="I56" s="47"/>
      <c r="J56" s="47"/>
      <c r="K56" s="47"/>
      <c r="L56" s="47"/>
      <c r="M56" s="88"/>
      <c r="N56" s="39"/>
      <c r="O56" s="39"/>
      <c r="P56" s="39"/>
      <c r="Q56" s="39"/>
      <c r="R56" s="39"/>
      <c r="S56" s="39"/>
      <c r="T56" s="39"/>
      <c r="U56" s="39"/>
      <c r="V56" s="39"/>
      <c r="W56" s="56"/>
      <c r="X56" s="234"/>
      <c r="Y56" s="56"/>
      <c r="Z56" s="234"/>
      <c r="AA56" s="56"/>
      <c r="AB56" s="234"/>
      <c r="AC56" s="234"/>
      <c r="AD56" s="234"/>
      <c r="AE56" s="234"/>
      <c r="AF56" s="234"/>
      <c r="AG56" s="234"/>
      <c r="AH56" s="234"/>
      <c r="AI56" s="234"/>
      <c r="AJ56" s="56"/>
      <c r="AK56" s="264">
        <f>AK49-AK53-AK54-AK55-AK52-AK51</f>
        <v>15600</v>
      </c>
      <c r="AL56" s="58">
        <f t="shared" ref="AL56:AP56" si="68">AL49-AL53-AL54-AL55-AL52-AL51</f>
        <v>15600</v>
      </c>
      <c r="AM56" s="58">
        <f t="shared" si="68"/>
        <v>5600</v>
      </c>
      <c r="AN56" s="58">
        <f t="shared" si="68"/>
        <v>10000</v>
      </c>
      <c r="AO56" s="58">
        <f t="shared" si="68"/>
        <v>0</v>
      </c>
      <c r="AP56" s="58">
        <f t="shared" si="68"/>
        <v>0</v>
      </c>
      <c r="AQ56" s="93" t="s">
        <v>590</v>
      </c>
      <c r="AR56" s="48">
        <f t="shared" si="65"/>
        <v>-15600</v>
      </c>
      <c r="AS56" s="81">
        <f t="shared" si="66"/>
        <v>0</v>
      </c>
    </row>
    <row r="57" spans="1:45" s="50" customFormat="1" ht="32.450000000000003" customHeight="1">
      <c r="B57" s="36" t="s">
        <v>856</v>
      </c>
      <c r="C57" s="349" t="s">
        <v>66</v>
      </c>
      <c r="D57" s="93"/>
      <c r="E57" s="47"/>
      <c r="F57" s="47"/>
      <c r="G57" s="47"/>
      <c r="H57" s="47"/>
      <c r="I57" s="47"/>
      <c r="J57" s="47"/>
      <c r="K57" s="47"/>
      <c r="L57" s="47"/>
      <c r="M57" s="88"/>
      <c r="N57" s="39"/>
      <c r="O57" s="39"/>
      <c r="P57" s="39"/>
      <c r="Q57" s="39"/>
      <c r="R57" s="39"/>
      <c r="S57" s="39"/>
      <c r="T57" s="39"/>
      <c r="U57" s="39"/>
      <c r="V57" s="39"/>
      <c r="W57" s="56">
        <v>112642</v>
      </c>
      <c r="X57" s="234">
        <v>112642</v>
      </c>
      <c r="Y57" s="56">
        <v>112642</v>
      </c>
      <c r="Z57" s="234"/>
      <c r="AA57" s="56">
        <f>AB57+AC57+12642</f>
        <v>112642</v>
      </c>
      <c r="AB57" s="234">
        <v>50000</v>
      </c>
      <c r="AC57" s="234">
        <v>50000</v>
      </c>
      <c r="AD57" s="234"/>
      <c r="AE57" s="234"/>
      <c r="AF57" s="234">
        <f>16949+18709</f>
        <v>35658</v>
      </c>
      <c r="AG57" s="234">
        <v>19431</v>
      </c>
      <c r="AH57" s="234"/>
      <c r="AI57" s="234">
        <f>8460+11662+12642</f>
        <v>32764</v>
      </c>
      <c r="AJ57" s="43">
        <f>AF57+AI57</f>
        <v>68422</v>
      </c>
      <c r="AK57" s="318">
        <f>AL57</f>
        <v>20000</v>
      </c>
      <c r="AL57" s="56">
        <f>AM57+AN57+AO57</f>
        <v>20000</v>
      </c>
      <c r="AM57" s="56">
        <v>10000</v>
      </c>
      <c r="AN57" s="56">
        <v>10000</v>
      </c>
      <c r="AO57" s="57"/>
      <c r="AP57" s="57"/>
      <c r="AQ57" s="47"/>
      <c r="AR57" s="48">
        <f t="shared" si="65"/>
        <v>24220</v>
      </c>
      <c r="AS57" s="81">
        <f t="shared" si="66"/>
        <v>0</v>
      </c>
    </row>
    <row r="58" spans="1:45" s="50" customFormat="1" ht="16.5" customHeight="1">
      <c r="B58" s="36"/>
      <c r="C58" s="346"/>
      <c r="D58" s="93"/>
      <c r="E58" s="47"/>
      <c r="F58" s="47"/>
      <c r="G58" s="47"/>
      <c r="H58" s="47"/>
      <c r="I58" s="47"/>
      <c r="J58" s="47"/>
      <c r="K58" s="47"/>
      <c r="L58" s="47"/>
      <c r="M58" s="88"/>
      <c r="N58" s="39"/>
      <c r="O58" s="39"/>
      <c r="P58" s="39"/>
      <c r="Q58" s="39"/>
      <c r="R58" s="39"/>
      <c r="S58" s="39"/>
      <c r="T58" s="39"/>
      <c r="U58" s="39"/>
      <c r="V58" s="39"/>
      <c r="W58" s="56"/>
      <c r="X58" s="234"/>
      <c r="Y58" s="56"/>
      <c r="Z58" s="234"/>
      <c r="AA58" s="56"/>
      <c r="AB58" s="234"/>
      <c r="AC58" s="234"/>
      <c r="AD58" s="234"/>
      <c r="AE58" s="234"/>
      <c r="AF58" s="234"/>
      <c r="AG58" s="234"/>
      <c r="AH58" s="234"/>
      <c r="AI58" s="234"/>
      <c r="AJ58" s="56"/>
      <c r="AK58" s="318"/>
      <c r="AL58" s="57"/>
      <c r="AM58" s="57"/>
      <c r="AN58" s="57"/>
      <c r="AO58" s="57"/>
      <c r="AP58" s="57"/>
      <c r="AQ58" s="47"/>
      <c r="AR58" s="48">
        <f t="shared" si="65"/>
        <v>0</v>
      </c>
      <c r="AS58" s="81">
        <f t="shared" si="66"/>
        <v>0</v>
      </c>
    </row>
    <row r="59" spans="1:45" s="50" customFormat="1" ht="23.1" customHeight="1">
      <c r="B59" s="80" t="s">
        <v>26</v>
      </c>
      <c r="C59" s="340" t="s">
        <v>27</v>
      </c>
      <c r="D59" s="247">
        <f t="shared" ref="D59:M59" si="69">D60+D71+D82+D234+D242+D254+D262+D267+D305+D311+D343+D406+D411+D425+D488+D503</f>
        <v>238</v>
      </c>
      <c r="E59" s="43">
        <f t="shared" si="69"/>
        <v>51</v>
      </c>
      <c r="F59" s="43">
        <f t="shared" si="69"/>
        <v>1589390</v>
      </c>
      <c r="G59" s="43">
        <f t="shared" si="69"/>
        <v>90</v>
      </c>
      <c r="H59" s="43">
        <f t="shared" si="69"/>
        <v>981110</v>
      </c>
      <c r="I59" s="43">
        <f t="shared" si="69"/>
        <v>97</v>
      </c>
      <c r="J59" s="43">
        <f t="shared" si="69"/>
        <v>1934471</v>
      </c>
      <c r="K59" s="43" t="e">
        <f t="shared" si="69"/>
        <v>#REF!</v>
      </c>
      <c r="L59" s="43" t="e">
        <f t="shared" si="69"/>
        <v>#REF!</v>
      </c>
      <c r="M59" s="43" t="e">
        <f t="shared" si="69"/>
        <v>#REF!</v>
      </c>
      <c r="N59" s="39"/>
      <c r="O59" s="39"/>
      <c r="P59" s="39"/>
      <c r="Q59" s="39"/>
      <c r="R59" s="39"/>
      <c r="S59" s="93"/>
      <c r="T59" s="39"/>
      <c r="U59" s="39"/>
      <c r="V59" s="39"/>
      <c r="W59" s="43">
        <f t="shared" ref="W59:AP59" si="70">W60+W71+W82+W234+W242+W254+W262+W267+W305+W311+W343+W406+W411+W425+W488+W503</f>
        <v>20417795.015000001</v>
      </c>
      <c r="X59" s="235" t="e">
        <f t="shared" si="70"/>
        <v>#REF!</v>
      </c>
      <c r="Y59" s="43">
        <f t="shared" si="70"/>
        <v>16337882.392000001</v>
      </c>
      <c r="Z59" s="235" t="e">
        <f t="shared" si="70"/>
        <v>#REF!</v>
      </c>
      <c r="AA59" s="43">
        <f t="shared" si="70"/>
        <v>12060881</v>
      </c>
      <c r="AB59" s="235" t="e">
        <f t="shared" si="70"/>
        <v>#REF!</v>
      </c>
      <c r="AC59" s="235" t="e">
        <f t="shared" si="70"/>
        <v>#REF!</v>
      </c>
      <c r="AD59" s="235" t="e">
        <f t="shared" si="70"/>
        <v>#REF!</v>
      </c>
      <c r="AE59" s="235" t="e">
        <f t="shared" si="70"/>
        <v>#REF!</v>
      </c>
      <c r="AF59" s="235">
        <f t="shared" si="70"/>
        <v>1244204.224321</v>
      </c>
      <c r="AG59" s="235" t="e">
        <f t="shared" si="70"/>
        <v>#REF!</v>
      </c>
      <c r="AH59" s="235" t="e">
        <f t="shared" si="70"/>
        <v>#REF!</v>
      </c>
      <c r="AI59" s="235">
        <f t="shared" si="70"/>
        <v>3046590.918505</v>
      </c>
      <c r="AJ59" s="43">
        <f t="shared" si="70"/>
        <v>4290915.1428260002</v>
      </c>
      <c r="AK59" s="235">
        <f t="shared" si="70"/>
        <v>5348792</v>
      </c>
      <c r="AL59" s="43">
        <f t="shared" si="70"/>
        <v>4504971</v>
      </c>
      <c r="AM59" s="43">
        <f t="shared" si="70"/>
        <v>507000</v>
      </c>
      <c r="AN59" s="43">
        <f t="shared" si="70"/>
        <v>1580000</v>
      </c>
      <c r="AO59" s="43">
        <f t="shared" si="70"/>
        <v>1247471</v>
      </c>
      <c r="AP59" s="43">
        <f t="shared" si="70"/>
        <v>1170500</v>
      </c>
      <c r="AQ59" s="47"/>
      <c r="AR59" s="48">
        <f t="shared" si="65"/>
        <v>3265114.8571739998</v>
      </c>
      <c r="AS59" s="81">
        <f t="shared" si="66"/>
        <v>1170500</v>
      </c>
    </row>
    <row r="60" spans="1:45" s="50" customFormat="1" ht="23.1" customHeight="1">
      <c r="B60" s="36" t="s">
        <v>857</v>
      </c>
      <c r="C60" s="340" t="s">
        <v>57</v>
      </c>
      <c r="D60" s="247">
        <f t="shared" ref="D60:M60" si="71">D66+D61</f>
        <v>5</v>
      </c>
      <c r="E60" s="43">
        <f t="shared" si="71"/>
        <v>0</v>
      </c>
      <c r="F60" s="43">
        <f t="shared" si="71"/>
        <v>0</v>
      </c>
      <c r="G60" s="43">
        <f t="shared" si="71"/>
        <v>3</v>
      </c>
      <c r="H60" s="43">
        <f t="shared" si="71"/>
        <v>17700</v>
      </c>
      <c r="I60" s="43">
        <f t="shared" si="71"/>
        <v>2</v>
      </c>
      <c r="J60" s="43">
        <f t="shared" si="71"/>
        <v>32200</v>
      </c>
      <c r="K60" s="43">
        <f t="shared" si="71"/>
        <v>0</v>
      </c>
      <c r="L60" s="43">
        <f t="shared" si="71"/>
        <v>5</v>
      </c>
      <c r="M60" s="43">
        <f t="shared" si="71"/>
        <v>0</v>
      </c>
      <c r="N60" s="39"/>
      <c r="O60" s="39"/>
      <c r="P60" s="39"/>
      <c r="Q60" s="39"/>
      <c r="R60" s="39"/>
      <c r="S60" s="93"/>
      <c r="T60" s="39"/>
      <c r="U60" s="39"/>
      <c r="V60" s="39"/>
      <c r="W60" s="43">
        <f t="shared" ref="W60:AM60" si="72">W66+W61</f>
        <v>294821</v>
      </c>
      <c r="X60" s="235">
        <f t="shared" si="72"/>
        <v>168790</v>
      </c>
      <c r="Y60" s="43">
        <f t="shared" si="72"/>
        <v>284219</v>
      </c>
      <c r="Z60" s="235">
        <f t="shared" si="72"/>
        <v>0</v>
      </c>
      <c r="AA60" s="43">
        <f t="shared" si="72"/>
        <v>189400</v>
      </c>
      <c r="AB60" s="235">
        <f t="shared" si="72"/>
        <v>113400</v>
      </c>
      <c r="AC60" s="235">
        <f t="shared" si="72"/>
        <v>0</v>
      </c>
      <c r="AD60" s="235">
        <f t="shared" si="72"/>
        <v>76000</v>
      </c>
      <c r="AE60" s="235">
        <f t="shared" si="72"/>
        <v>0</v>
      </c>
      <c r="AF60" s="235">
        <f t="shared" si="72"/>
        <v>43324.805</v>
      </c>
      <c r="AG60" s="235">
        <f t="shared" si="72"/>
        <v>74437.358000000007</v>
      </c>
      <c r="AH60" s="235">
        <f t="shared" si="72"/>
        <v>7946.7330000000002</v>
      </c>
      <c r="AI60" s="235">
        <f t="shared" si="72"/>
        <v>79975.358000000007</v>
      </c>
      <c r="AJ60" s="43">
        <f t="shared" si="72"/>
        <v>123300.163</v>
      </c>
      <c r="AK60" s="235">
        <f t="shared" si="72"/>
        <v>52100</v>
      </c>
      <c r="AL60" s="43">
        <f t="shared" si="72"/>
        <v>49900</v>
      </c>
      <c r="AM60" s="43">
        <f t="shared" si="72"/>
        <v>28900</v>
      </c>
      <c r="AN60" s="43">
        <f t="shared" ref="AN60:AP60" si="73">AN66+AN61</f>
        <v>0</v>
      </c>
      <c r="AO60" s="43">
        <f t="shared" si="73"/>
        <v>21000</v>
      </c>
      <c r="AP60" s="43">
        <f t="shared" si="73"/>
        <v>0</v>
      </c>
      <c r="AQ60" s="43"/>
      <c r="AR60" s="48">
        <f t="shared" si="65"/>
        <v>16199.837</v>
      </c>
      <c r="AS60" s="81">
        <f t="shared" si="66"/>
        <v>0</v>
      </c>
    </row>
    <row r="61" spans="1:45" s="50" customFormat="1" ht="38.1" customHeight="1">
      <c r="B61" s="36" t="s">
        <v>50</v>
      </c>
      <c r="C61" s="349" t="s">
        <v>175</v>
      </c>
      <c r="D61" s="247">
        <f t="shared" ref="D61:M61" si="74">D62</f>
        <v>3</v>
      </c>
      <c r="E61" s="43">
        <f t="shared" si="74"/>
        <v>0</v>
      </c>
      <c r="F61" s="43">
        <f t="shared" si="74"/>
        <v>0</v>
      </c>
      <c r="G61" s="43">
        <f t="shared" si="74"/>
        <v>3</v>
      </c>
      <c r="H61" s="43">
        <f t="shared" si="74"/>
        <v>17700</v>
      </c>
      <c r="I61" s="43">
        <f t="shared" si="74"/>
        <v>0</v>
      </c>
      <c r="J61" s="43">
        <f t="shared" si="74"/>
        <v>0</v>
      </c>
      <c r="K61" s="43">
        <f t="shared" si="74"/>
        <v>0</v>
      </c>
      <c r="L61" s="43">
        <f t="shared" si="74"/>
        <v>3</v>
      </c>
      <c r="M61" s="43">
        <f t="shared" si="74"/>
        <v>0</v>
      </c>
      <c r="N61" s="39"/>
      <c r="O61" s="39"/>
      <c r="P61" s="39"/>
      <c r="Q61" s="39"/>
      <c r="R61" s="39"/>
      <c r="S61" s="39"/>
      <c r="T61" s="39"/>
      <c r="U61" s="39"/>
      <c r="V61" s="39"/>
      <c r="W61" s="43">
        <f t="shared" ref="W61:AM61" si="75">W62</f>
        <v>55836</v>
      </c>
      <c r="X61" s="235">
        <f t="shared" si="75"/>
        <v>0</v>
      </c>
      <c r="Y61" s="43">
        <f t="shared" si="75"/>
        <v>54229</v>
      </c>
      <c r="Z61" s="235">
        <f t="shared" si="75"/>
        <v>0</v>
      </c>
      <c r="AA61" s="43">
        <f t="shared" si="75"/>
        <v>52200</v>
      </c>
      <c r="AB61" s="235">
        <f t="shared" si="75"/>
        <v>52200</v>
      </c>
      <c r="AC61" s="235">
        <f t="shared" si="75"/>
        <v>0</v>
      </c>
      <c r="AD61" s="235">
        <f t="shared" si="75"/>
        <v>0</v>
      </c>
      <c r="AE61" s="235">
        <f t="shared" si="75"/>
        <v>0</v>
      </c>
      <c r="AF61" s="235">
        <f t="shared" si="75"/>
        <v>12762.163</v>
      </c>
      <c r="AG61" s="235">
        <f t="shared" si="75"/>
        <v>15000</v>
      </c>
      <c r="AH61" s="235">
        <f t="shared" si="75"/>
        <v>0</v>
      </c>
      <c r="AI61" s="235">
        <f t="shared" si="75"/>
        <v>20538</v>
      </c>
      <c r="AJ61" s="43">
        <f t="shared" si="75"/>
        <v>33300.163</v>
      </c>
      <c r="AK61" s="235">
        <f t="shared" si="75"/>
        <v>19900</v>
      </c>
      <c r="AL61" s="43">
        <f t="shared" si="75"/>
        <v>17700</v>
      </c>
      <c r="AM61" s="43">
        <f t="shared" si="75"/>
        <v>17700</v>
      </c>
      <c r="AN61" s="43">
        <f t="shared" ref="AN61:AP61" si="76">AN62</f>
        <v>0</v>
      </c>
      <c r="AO61" s="43">
        <f t="shared" si="76"/>
        <v>0</v>
      </c>
      <c r="AP61" s="43">
        <f t="shared" si="76"/>
        <v>0</v>
      </c>
      <c r="AQ61" s="47"/>
      <c r="AR61" s="48">
        <f t="shared" si="65"/>
        <v>1199.8369999999995</v>
      </c>
      <c r="AS61" s="49" t="e">
        <f>#REF!-AL61</f>
        <v>#REF!</v>
      </c>
    </row>
    <row r="62" spans="1:45" s="133" customFormat="1" ht="18" customHeight="1">
      <c r="B62" s="129" t="s">
        <v>106</v>
      </c>
      <c r="C62" s="348" t="s">
        <v>119</v>
      </c>
      <c r="D62" s="439">
        <f t="shared" ref="D62:M62" si="77">D63+D64+D65</f>
        <v>3</v>
      </c>
      <c r="E62" s="69">
        <f t="shared" si="77"/>
        <v>0</v>
      </c>
      <c r="F62" s="69">
        <f t="shared" si="77"/>
        <v>0</v>
      </c>
      <c r="G62" s="69">
        <f t="shared" si="77"/>
        <v>3</v>
      </c>
      <c r="H62" s="69">
        <f t="shared" si="77"/>
        <v>17700</v>
      </c>
      <c r="I62" s="69">
        <f t="shared" si="77"/>
        <v>0</v>
      </c>
      <c r="J62" s="69">
        <f t="shared" si="77"/>
        <v>0</v>
      </c>
      <c r="K62" s="69">
        <f t="shared" si="77"/>
        <v>0</v>
      </c>
      <c r="L62" s="69">
        <f t="shared" si="77"/>
        <v>3</v>
      </c>
      <c r="M62" s="69">
        <f t="shared" si="77"/>
        <v>0</v>
      </c>
      <c r="N62" s="122"/>
      <c r="O62" s="122"/>
      <c r="P62" s="122"/>
      <c r="Q62" s="122"/>
      <c r="R62" s="122"/>
      <c r="S62" s="122"/>
      <c r="T62" s="122"/>
      <c r="U62" s="122"/>
      <c r="V62" s="122"/>
      <c r="W62" s="69">
        <f t="shared" ref="W62:AM62" si="78">W63+W64+W65</f>
        <v>55836</v>
      </c>
      <c r="X62" s="236">
        <f t="shared" si="78"/>
        <v>0</v>
      </c>
      <c r="Y62" s="69">
        <f t="shared" si="78"/>
        <v>54229</v>
      </c>
      <c r="Z62" s="236">
        <f t="shared" si="78"/>
        <v>0</v>
      </c>
      <c r="AA62" s="69">
        <f t="shared" si="78"/>
        <v>52200</v>
      </c>
      <c r="AB62" s="236">
        <f t="shared" si="78"/>
        <v>52200</v>
      </c>
      <c r="AC62" s="236">
        <f t="shared" si="78"/>
        <v>0</v>
      </c>
      <c r="AD62" s="236">
        <f t="shared" si="78"/>
        <v>0</v>
      </c>
      <c r="AE62" s="236">
        <f t="shared" si="78"/>
        <v>0</v>
      </c>
      <c r="AF62" s="236">
        <f t="shared" si="78"/>
        <v>12762.163</v>
      </c>
      <c r="AG62" s="236">
        <f t="shared" si="78"/>
        <v>15000</v>
      </c>
      <c r="AH62" s="236">
        <f t="shared" si="78"/>
        <v>0</v>
      </c>
      <c r="AI62" s="236">
        <f t="shared" si="78"/>
        <v>20538</v>
      </c>
      <c r="AJ62" s="69">
        <f t="shared" si="78"/>
        <v>33300.163</v>
      </c>
      <c r="AK62" s="236">
        <f t="shared" si="78"/>
        <v>19900</v>
      </c>
      <c r="AL62" s="69">
        <f t="shared" si="78"/>
        <v>17700</v>
      </c>
      <c r="AM62" s="69">
        <f t="shared" si="78"/>
        <v>17700</v>
      </c>
      <c r="AN62" s="69">
        <f t="shared" ref="AN62:AP62" si="79">AN63+AN64+AN65</f>
        <v>0</v>
      </c>
      <c r="AO62" s="69">
        <f t="shared" si="79"/>
        <v>0</v>
      </c>
      <c r="AP62" s="69">
        <f t="shared" si="79"/>
        <v>0</v>
      </c>
      <c r="AQ62" s="130"/>
      <c r="AR62" s="131">
        <f t="shared" si="65"/>
        <v>1199.8369999999995</v>
      </c>
      <c r="AS62" s="132" t="e">
        <f>#REF!-AL62</f>
        <v>#REF!</v>
      </c>
    </row>
    <row r="63" spans="1:45" s="50" customFormat="1" ht="71.45" customHeight="1">
      <c r="A63" s="50" t="s">
        <v>104</v>
      </c>
      <c r="B63" s="237">
        <v>1</v>
      </c>
      <c r="C63" s="102" t="s">
        <v>757</v>
      </c>
      <c r="D63" s="93">
        <v>1</v>
      </c>
      <c r="E63" s="47"/>
      <c r="F63" s="47"/>
      <c r="G63" s="47">
        <v>1</v>
      </c>
      <c r="H63" s="47">
        <f>G63*AL63</f>
        <v>1600</v>
      </c>
      <c r="I63" s="47"/>
      <c r="J63" s="47"/>
      <c r="K63" s="47"/>
      <c r="L63" s="47">
        <v>1</v>
      </c>
      <c r="M63" s="88"/>
      <c r="N63" s="41" t="s">
        <v>111</v>
      </c>
      <c r="O63" s="93" t="s">
        <v>109</v>
      </c>
      <c r="P63" s="41" t="s">
        <v>28</v>
      </c>
      <c r="Q63" s="41">
        <v>7004686</v>
      </c>
      <c r="R63" s="41"/>
      <c r="S63" s="41"/>
      <c r="T63" s="41" t="s">
        <v>114</v>
      </c>
      <c r="U63" s="39"/>
      <c r="V63" s="39" t="s">
        <v>226</v>
      </c>
      <c r="W63" s="47">
        <v>16534</v>
      </c>
      <c r="X63" s="120"/>
      <c r="Y63" s="47">
        <v>16534</v>
      </c>
      <c r="Z63" s="235"/>
      <c r="AA63" s="68">
        <v>14800</v>
      </c>
      <c r="AB63" s="250">
        <v>14800</v>
      </c>
      <c r="AC63" s="235"/>
      <c r="AD63" s="235"/>
      <c r="AE63" s="235"/>
      <c r="AF63" s="120">
        <v>6000</v>
      </c>
      <c r="AG63" s="120">
        <v>5000</v>
      </c>
      <c r="AH63" s="235"/>
      <c r="AI63" s="120">
        <v>7200</v>
      </c>
      <c r="AJ63" s="47">
        <f>AF63+AI63</f>
        <v>13200</v>
      </c>
      <c r="AK63" s="120">
        <v>3800</v>
      </c>
      <c r="AL63" s="47">
        <f>AM63+AN63+AO63</f>
        <v>1600</v>
      </c>
      <c r="AM63" s="47">
        <v>1600</v>
      </c>
      <c r="AN63" s="43"/>
      <c r="AO63" s="43"/>
      <c r="AP63" s="43"/>
      <c r="AQ63" s="41"/>
      <c r="AR63" s="48">
        <f t="shared" si="65"/>
        <v>0</v>
      </c>
      <c r="AS63" s="49" t="e">
        <f>#REF!-AL63</f>
        <v>#REF!</v>
      </c>
    </row>
    <row r="64" spans="1:45" s="50" customFormat="1" ht="51.6" customHeight="1">
      <c r="A64" s="50" t="s">
        <v>749</v>
      </c>
      <c r="B64" s="237">
        <v>2</v>
      </c>
      <c r="C64" s="102" t="s">
        <v>224</v>
      </c>
      <c r="D64" s="93">
        <v>1</v>
      </c>
      <c r="E64" s="47"/>
      <c r="F64" s="47"/>
      <c r="G64" s="47">
        <v>1</v>
      </c>
      <c r="H64" s="47">
        <f>G64*AL64</f>
        <v>12800</v>
      </c>
      <c r="I64" s="47"/>
      <c r="J64" s="47"/>
      <c r="K64" s="47"/>
      <c r="L64" s="47">
        <v>1</v>
      </c>
      <c r="M64" s="88"/>
      <c r="N64" s="40" t="s">
        <v>225</v>
      </c>
      <c r="O64" s="93" t="s">
        <v>109</v>
      </c>
      <c r="P64" s="41" t="s">
        <v>28</v>
      </c>
      <c r="Q64" s="41">
        <v>7004686</v>
      </c>
      <c r="R64" s="40"/>
      <c r="S64" s="41"/>
      <c r="T64" s="41" t="s">
        <v>114</v>
      </c>
      <c r="U64" s="39"/>
      <c r="V64" s="41" t="s">
        <v>227</v>
      </c>
      <c r="W64" s="47">
        <v>23295</v>
      </c>
      <c r="X64" s="120"/>
      <c r="Y64" s="47">
        <v>23295</v>
      </c>
      <c r="Z64" s="235"/>
      <c r="AA64" s="59">
        <f>AB64+AC64+AD64+AE64</f>
        <v>23000</v>
      </c>
      <c r="AB64" s="120">
        <v>23000</v>
      </c>
      <c r="AC64" s="235"/>
      <c r="AD64" s="235"/>
      <c r="AE64" s="235"/>
      <c r="AF64" s="120">
        <v>762.16300000000001</v>
      </c>
      <c r="AG64" s="120">
        <v>10000</v>
      </c>
      <c r="AH64" s="235"/>
      <c r="AI64" s="120">
        <v>8638</v>
      </c>
      <c r="AJ64" s="47">
        <f>AF64+AI64</f>
        <v>9400.1630000000005</v>
      </c>
      <c r="AK64" s="120">
        <v>12800</v>
      </c>
      <c r="AL64" s="47">
        <f>AM64+AN64+AO64</f>
        <v>12800</v>
      </c>
      <c r="AM64" s="47">
        <v>12800</v>
      </c>
      <c r="AN64" s="43"/>
      <c r="AO64" s="43"/>
      <c r="AP64" s="43"/>
      <c r="AQ64" s="93"/>
      <c r="AR64" s="48">
        <f t="shared" si="65"/>
        <v>799.83699999999953</v>
      </c>
      <c r="AS64" s="49" t="e">
        <f>#REF!-AL64</f>
        <v>#REF!</v>
      </c>
    </row>
    <row r="65" spans="1:45" s="1" customFormat="1" ht="83.25" customHeight="1">
      <c r="A65" s="50" t="s">
        <v>749</v>
      </c>
      <c r="B65" s="88">
        <v>3</v>
      </c>
      <c r="C65" s="345" t="s">
        <v>665</v>
      </c>
      <c r="D65" s="93">
        <v>1</v>
      </c>
      <c r="E65" s="47"/>
      <c r="F65" s="47"/>
      <c r="G65" s="47">
        <v>1</v>
      </c>
      <c r="H65" s="47">
        <f>G65*AL65</f>
        <v>3300</v>
      </c>
      <c r="I65" s="47"/>
      <c r="J65" s="47"/>
      <c r="K65" s="47"/>
      <c r="L65" s="47">
        <v>1</v>
      </c>
      <c r="M65" s="88"/>
      <c r="N65" s="39" t="s">
        <v>663</v>
      </c>
      <c r="O65" s="93" t="s">
        <v>109</v>
      </c>
      <c r="P65" s="41" t="s">
        <v>28</v>
      </c>
      <c r="Q65" s="41">
        <v>7004686</v>
      </c>
      <c r="R65" s="40"/>
      <c r="S65" s="41"/>
      <c r="T65" s="41" t="s">
        <v>114</v>
      </c>
      <c r="U65" s="39"/>
      <c r="V65" s="41" t="s">
        <v>664</v>
      </c>
      <c r="W65" s="47">
        <v>16007</v>
      </c>
      <c r="X65" s="120"/>
      <c r="Y65" s="47">
        <v>14400</v>
      </c>
      <c r="Z65" s="120"/>
      <c r="AA65" s="59">
        <f>AB65+AC65+AD65+AE65</f>
        <v>14400</v>
      </c>
      <c r="AB65" s="120">
        <v>14400</v>
      </c>
      <c r="AC65" s="120"/>
      <c r="AD65" s="120"/>
      <c r="AE65" s="120"/>
      <c r="AF65" s="120">
        <v>6000</v>
      </c>
      <c r="AG65" s="120"/>
      <c r="AH65" s="120"/>
      <c r="AI65" s="120">
        <v>4700</v>
      </c>
      <c r="AJ65" s="47">
        <f>AF65+AI65</f>
        <v>10700</v>
      </c>
      <c r="AK65" s="120">
        <v>3300</v>
      </c>
      <c r="AL65" s="47">
        <f>AM65+AN65+AO65</f>
        <v>3300</v>
      </c>
      <c r="AM65" s="47">
        <v>3300</v>
      </c>
      <c r="AN65" s="47"/>
      <c r="AO65" s="47"/>
      <c r="AP65" s="47"/>
      <c r="AQ65" s="41"/>
      <c r="AR65" s="238">
        <f>AA65-AJ65</f>
        <v>3700</v>
      </c>
      <c r="AS65" s="238">
        <f>AR65-AL65</f>
        <v>400</v>
      </c>
    </row>
    <row r="66" spans="1:45" s="50" customFormat="1" ht="34.5" customHeight="1">
      <c r="B66" s="36" t="s">
        <v>51</v>
      </c>
      <c r="C66" s="340" t="s">
        <v>174</v>
      </c>
      <c r="D66" s="247">
        <f t="shared" ref="D66:M66" si="80">D67</f>
        <v>2</v>
      </c>
      <c r="E66" s="43">
        <f t="shared" si="80"/>
        <v>0</v>
      </c>
      <c r="F66" s="43">
        <f t="shared" si="80"/>
        <v>0</v>
      </c>
      <c r="G66" s="43">
        <f t="shared" si="80"/>
        <v>0</v>
      </c>
      <c r="H66" s="43">
        <f t="shared" si="80"/>
        <v>0</v>
      </c>
      <c r="I66" s="43">
        <f t="shared" si="80"/>
        <v>2</v>
      </c>
      <c r="J66" s="43">
        <f t="shared" si="80"/>
        <v>32200</v>
      </c>
      <c r="K66" s="43">
        <f t="shared" si="80"/>
        <v>0</v>
      </c>
      <c r="L66" s="43">
        <f t="shared" si="80"/>
        <v>2</v>
      </c>
      <c r="M66" s="43">
        <f t="shared" si="80"/>
        <v>0</v>
      </c>
      <c r="N66" s="39"/>
      <c r="O66" s="39"/>
      <c r="P66" s="39"/>
      <c r="Q66" s="39"/>
      <c r="R66" s="39"/>
      <c r="S66" s="39"/>
      <c r="T66" s="39"/>
      <c r="U66" s="39"/>
      <c r="V66" s="39"/>
      <c r="W66" s="43">
        <f>W67</f>
        <v>238985</v>
      </c>
      <c r="X66" s="235">
        <f t="shared" ref="X66:AP66" si="81">X67</f>
        <v>168790</v>
      </c>
      <c r="Y66" s="43">
        <f t="shared" si="81"/>
        <v>229990</v>
      </c>
      <c r="Z66" s="235">
        <f t="shared" si="81"/>
        <v>0</v>
      </c>
      <c r="AA66" s="43">
        <f t="shared" si="81"/>
        <v>137200</v>
      </c>
      <c r="AB66" s="235">
        <f t="shared" si="81"/>
        <v>61200</v>
      </c>
      <c r="AC66" s="235">
        <f t="shared" si="81"/>
        <v>0</v>
      </c>
      <c r="AD66" s="235">
        <f t="shared" si="81"/>
        <v>76000</v>
      </c>
      <c r="AE66" s="235">
        <f t="shared" si="81"/>
        <v>0</v>
      </c>
      <c r="AF66" s="235">
        <f t="shared" si="81"/>
        <v>30562.642</v>
      </c>
      <c r="AG66" s="235">
        <f t="shared" si="81"/>
        <v>59437.358</v>
      </c>
      <c r="AH66" s="235">
        <f t="shared" si="81"/>
        <v>7946.7330000000002</v>
      </c>
      <c r="AI66" s="235">
        <f t="shared" si="81"/>
        <v>59437.358</v>
      </c>
      <c r="AJ66" s="43">
        <f t="shared" si="81"/>
        <v>90000</v>
      </c>
      <c r="AK66" s="235">
        <f t="shared" si="81"/>
        <v>32200</v>
      </c>
      <c r="AL66" s="43">
        <f t="shared" si="81"/>
        <v>32200</v>
      </c>
      <c r="AM66" s="43">
        <f t="shared" si="81"/>
        <v>11200</v>
      </c>
      <c r="AN66" s="43">
        <f t="shared" si="81"/>
        <v>0</v>
      </c>
      <c r="AO66" s="43">
        <f t="shared" si="81"/>
        <v>21000</v>
      </c>
      <c r="AP66" s="43">
        <f t="shared" si="81"/>
        <v>0</v>
      </c>
      <c r="AQ66" s="43"/>
      <c r="AR66" s="48">
        <f t="shared" ref="AR66:AR71" si="82">AA66-(AF66+AI66+AL66)</f>
        <v>15000</v>
      </c>
      <c r="AS66" s="81">
        <f>AL66-(AM66+AN66+AO66)</f>
        <v>0</v>
      </c>
    </row>
    <row r="67" spans="1:45" s="133" customFormat="1" ht="18" customHeight="1">
      <c r="B67" s="129" t="s">
        <v>121</v>
      </c>
      <c r="C67" s="348" t="s">
        <v>107</v>
      </c>
      <c r="D67" s="439">
        <f t="shared" ref="D67:M67" si="83">D68+D69</f>
        <v>2</v>
      </c>
      <c r="E67" s="69">
        <f t="shared" si="83"/>
        <v>0</v>
      </c>
      <c r="F67" s="69">
        <f t="shared" si="83"/>
        <v>0</v>
      </c>
      <c r="G67" s="69">
        <f t="shared" si="83"/>
        <v>0</v>
      </c>
      <c r="H67" s="69">
        <f t="shared" si="83"/>
        <v>0</v>
      </c>
      <c r="I67" s="69">
        <f t="shared" si="83"/>
        <v>2</v>
      </c>
      <c r="J67" s="69">
        <f t="shared" si="83"/>
        <v>32200</v>
      </c>
      <c r="K67" s="69">
        <f t="shared" si="83"/>
        <v>0</v>
      </c>
      <c r="L67" s="69">
        <f t="shared" si="83"/>
        <v>2</v>
      </c>
      <c r="M67" s="69">
        <f t="shared" si="83"/>
        <v>0</v>
      </c>
      <c r="N67" s="122"/>
      <c r="O67" s="122"/>
      <c r="P67" s="122"/>
      <c r="Q67" s="122"/>
      <c r="R67" s="122"/>
      <c r="S67" s="122"/>
      <c r="T67" s="122"/>
      <c r="U67" s="122"/>
      <c r="V67" s="122"/>
      <c r="W67" s="69">
        <f>W68+W69</f>
        <v>238985</v>
      </c>
      <c r="X67" s="236">
        <f t="shared" ref="X67:AM67" si="84">X68+X69</f>
        <v>168790</v>
      </c>
      <c r="Y67" s="69">
        <f t="shared" si="84"/>
        <v>229990</v>
      </c>
      <c r="Z67" s="236">
        <f t="shared" si="84"/>
        <v>0</v>
      </c>
      <c r="AA67" s="69">
        <f t="shared" si="84"/>
        <v>137200</v>
      </c>
      <c r="AB67" s="236">
        <f t="shared" si="84"/>
        <v>61200</v>
      </c>
      <c r="AC67" s="236">
        <f t="shared" si="84"/>
        <v>0</v>
      </c>
      <c r="AD67" s="236">
        <f t="shared" si="84"/>
        <v>76000</v>
      </c>
      <c r="AE67" s="236">
        <f t="shared" si="84"/>
        <v>0</v>
      </c>
      <c r="AF67" s="236">
        <f t="shared" si="84"/>
        <v>30562.642</v>
      </c>
      <c r="AG67" s="236">
        <f t="shared" si="84"/>
        <v>59437.358</v>
      </c>
      <c r="AH67" s="236">
        <f t="shared" si="84"/>
        <v>7946.7330000000002</v>
      </c>
      <c r="AI67" s="236">
        <f t="shared" si="84"/>
        <v>59437.358</v>
      </c>
      <c r="AJ67" s="69">
        <f t="shared" ref="AJ67" si="85">AJ68+AJ69</f>
        <v>90000</v>
      </c>
      <c r="AK67" s="236">
        <f t="shared" si="84"/>
        <v>32200</v>
      </c>
      <c r="AL67" s="69">
        <f t="shared" si="84"/>
        <v>32200</v>
      </c>
      <c r="AM67" s="69">
        <f t="shared" si="84"/>
        <v>11200</v>
      </c>
      <c r="AN67" s="69">
        <f t="shared" ref="AN67:AP67" si="86">AN68+AN69</f>
        <v>0</v>
      </c>
      <c r="AO67" s="69">
        <f t="shared" si="86"/>
        <v>21000</v>
      </c>
      <c r="AP67" s="69">
        <f t="shared" si="86"/>
        <v>0</v>
      </c>
      <c r="AQ67" s="130"/>
      <c r="AR67" s="131">
        <f t="shared" si="82"/>
        <v>15000</v>
      </c>
      <c r="AS67" s="239">
        <f>AL67-(AM67+AN67+AO67)</f>
        <v>0</v>
      </c>
    </row>
    <row r="68" spans="1:45" s="50" customFormat="1" ht="67.5" customHeight="1">
      <c r="A68" s="50" t="s">
        <v>104</v>
      </c>
      <c r="B68" s="240" t="s">
        <v>176</v>
      </c>
      <c r="C68" s="345" t="s">
        <v>539</v>
      </c>
      <c r="D68" s="93">
        <v>1</v>
      </c>
      <c r="E68" s="47"/>
      <c r="F68" s="47"/>
      <c r="G68" s="43"/>
      <c r="H68" s="43"/>
      <c r="I68" s="47">
        <v>1</v>
      </c>
      <c r="J68" s="47">
        <f>I68*AL68</f>
        <v>21000</v>
      </c>
      <c r="K68" s="47"/>
      <c r="L68" s="47">
        <v>1</v>
      </c>
      <c r="M68" s="88"/>
      <c r="N68" s="93" t="s">
        <v>177</v>
      </c>
      <c r="O68" s="39" t="s">
        <v>109</v>
      </c>
      <c r="P68" s="90" t="s">
        <v>178</v>
      </c>
      <c r="Q68" s="40">
        <v>7910305</v>
      </c>
      <c r="R68" s="94"/>
      <c r="S68" s="90" t="s">
        <v>614</v>
      </c>
      <c r="T68" s="41" t="s">
        <v>133</v>
      </c>
      <c r="U68" s="90"/>
      <c r="V68" s="90" t="s">
        <v>179</v>
      </c>
      <c r="W68" s="68">
        <v>84995</v>
      </c>
      <c r="X68" s="241">
        <v>76000</v>
      </c>
      <c r="Y68" s="47">
        <v>76000</v>
      </c>
      <c r="Z68" s="235"/>
      <c r="AA68" s="59">
        <f>AB68+AC68+AD68+AE68</f>
        <v>76000</v>
      </c>
      <c r="AB68" s="235"/>
      <c r="AC68" s="235"/>
      <c r="AD68" s="219">
        <v>76000</v>
      </c>
      <c r="AE68" s="235"/>
      <c r="AF68" s="221">
        <v>562.64200000000005</v>
      </c>
      <c r="AG68" s="219">
        <v>39437.358</v>
      </c>
      <c r="AH68" s="235"/>
      <c r="AI68" s="219">
        <v>39437.358</v>
      </c>
      <c r="AJ68" s="47">
        <f>AF68+AI68</f>
        <v>40000</v>
      </c>
      <c r="AK68" s="219">
        <v>21000</v>
      </c>
      <c r="AL68" s="47">
        <f>AM68+AN68+AO68+AP68</f>
        <v>21000</v>
      </c>
      <c r="AM68" s="59"/>
      <c r="AN68" s="59"/>
      <c r="AO68" s="59">
        <v>21000</v>
      </c>
      <c r="AP68" s="43"/>
      <c r="AQ68" s="47"/>
      <c r="AR68" s="48">
        <f t="shared" si="82"/>
        <v>15000</v>
      </c>
      <c r="AS68" s="49" t="e">
        <f>#REF!-AL68</f>
        <v>#REF!</v>
      </c>
    </row>
    <row r="69" spans="1:45" s="50" customFormat="1" ht="65.45" customHeight="1">
      <c r="A69" s="50" t="s">
        <v>104</v>
      </c>
      <c r="B69" s="237">
        <v>2</v>
      </c>
      <c r="C69" s="102" t="s">
        <v>199</v>
      </c>
      <c r="D69" s="93">
        <v>1</v>
      </c>
      <c r="E69" s="47"/>
      <c r="F69" s="47"/>
      <c r="G69" s="47"/>
      <c r="H69" s="47"/>
      <c r="I69" s="47">
        <v>1</v>
      </c>
      <c r="J69" s="47">
        <f>I69*AL69</f>
        <v>11200</v>
      </c>
      <c r="K69" s="47"/>
      <c r="L69" s="47">
        <v>1</v>
      </c>
      <c r="M69" s="88"/>
      <c r="N69" s="41" t="s">
        <v>200</v>
      </c>
      <c r="O69" s="93" t="s">
        <v>109</v>
      </c>
      <c r="P69" s="41" t="s">
        <v>30</v>
      </c>
      <c r="Q69" s="41">
        <v>7004686</v>
      </c>
      <c r="R69" s="41"/>
      <c r="S69" s="41"/>
      <c r="T69" s="41" t="s">
        <v>133</v>
      </c>
      <c r="U69" s="39"/>
      <c r="V69" s="39" t="s">
        <v>756</v>
      </c>
      <c r="W69" s="47">
        <v>153990</v>
      </c>
      <c r="X69" s="120">
        <v>92790</v>
      </c>
      <c r="Y69" s="47">
        <v>153990</v>
      </c>
      <c r="Z69" s="120"/>
      <c r="AA69" s="47">
        <v>61200</v>
      </c>
      <c r="AB69" s="120">
        <v>61200</v>
      </c>
      <c r="AC69" s="120"/>
      <c r="AD69" s="120"/>
      <c r="AE69" s="120"/>
      <c r="AF69" s="120">
        <v>30000</v>
      </c>
      <c r="AG69" s="120">
        <f>10000+10000</f>
        <v>20000</v>
      </c>
      <c r="AH69" s="213">
        <v>7946.7330000000002</v>
      </c>
      <c r="AI69" s="120">
        <f>10000+10000</f>
        <v>20000</v>
      </c>
      <c r="AJ69" s="47">
        <f>AF69+AI69</f>
        <v>50000</v>
      </c>
      <c r="AK69" s="120">
        <v>11200</v>
      </c>
      <c r="AL69" s="47">
        <f t="shared" ref="AL69" si="87">AM69+AN69+AO69</f>
        <v>11200</v>
      </c>
      <c r="AM69" s="47">
        <v>11200</v>
      </c>
      <c r="AN69" s="47"/>
      <c r="AO69" s="47"/>
      <c r="AP69" s="47"/>
      <c r="AQ69" s="47"/>
      <c r="AR69" s="48">
        <f t="shared" si="82"/>
        <v>0</v>
      </c>
      <c r="AS69" s="49" t="e">
        <f>#REF!-AL69</f>
        <v>#REF!</v>
      </c>
    </row>
    <row r="70" spans="1:45" s="50" customFormat="1" ht="15" customHeight="1">
      <c r="B70" s="80"/>
      <c r="C70" s="340"/>
      <c r="D70" s="247"/>
      <c r="E70" s="47"/>
      <c r="F70" s="47"/>
      <c r="G70" s="47"/>
      <c r="H70" s="47"/>
      <c r="I70" s="47"/>
      <c r="J70" s="47"/>
      <c r="K70" s="47"/>
      <c r="L70" s="47"/>
      <c r="M70" s="88"/>
      <c r="N70" s="39"/>
      <c r="O70" s="39"/>
      <c r="P70" s="39"/>
      <c r="Q70" s="39"/>
      <c r="R70" s="39"/>
      <c r="S70" s="39"/>
      <c r="T70" s="39"/>
      <c r="U70" s="39"/>
      <c r="V70" s="39"/>
      <c r="W70" s="43"/>
      <c r="X70" s="235"/>
      <c r="Y70" s="43"/>
      <c r="Z70" s="235"/>
      <c r="AA70" s="43"/>
      <c r="AB70" s="235"/>
      <c r="AC70" s="235"/>
      <c r="AD70" s="235"/>
      <c r="AE70" s="235"/>
      <c r="AF70" s="235"/>
      <c r="AG70" s="235"/>
      <c r="AH70" s="235"/>
      <c r="AI70" s="235"/>
      <c r="AJ70" s="43"/>
      <c r="AK70" s="235"/>
      <c r="AL70" s="43"/>
      <c r="AM70" s="43"/>
      <c r="AN70" s="43"/>
      <c r="AO70" s="43"/>
      <c r="AP70" s="43"/>
      <c r="AQ70" s="47"/>
      <c r="AR70" s="48">
        <f t="shared" si="82"/>
        <v>0</v>
      </c>
      <c r="AS70" s="49" t="e">
        <f>#REF!-AL70</f>
        <v>#REF!</v>
      </c>
    </row>
    <row r="71" spans="1:45" s="50" customFormat="1" ht="33" customHeight="1">
      <c r="B71" s="80" t="s">
        <v>858</v>
      </c>
      <c r="C71" s="349" t="s">
        <v>58</v>
      </c>
      <c r="D71" s="247">
        <f t="shared" ref="D71:M71" si="88">D72+D76</f>
        <v>5</v>
      </c>
      <c r="E71" s="43">
        <f t="shared" si="88"/>
        <v>3</v>
      </c>
      <c r="F71" s="43">
        <f t="shared" si="88"/>
        <v>35000</v>
      </c>
      <c r="G71" s="43">
        <f t="shared" si="88"/>
        <v>0</v>
      </c>
      <c r="H71" s="43">
        <f t="shared" si="88"/>
        <v>0</v>
      </c>
      <c r="I71" s="43">
        <f t="shared" si="88"/>
        <v>2</v>
      </c>
      <c r="J71" s="43">
        <f t="shared" si="88"/>
        <v>10000</v>
      </c>
      <c r="K71" s="43">
        <f t="shared" si="88"/>
        <v>0</v>
      </c>
      <c r="L71" s="43">
        <f t="shared" si="88"/>
        <v>5</v>
      </c>
      <c r="M71" s="43">
        <f t="shared" si="88"/>
        <v>0</v>
      </c>
      <c r="N71" s="39"/>
      <c r="O71" s="39"/>
      <c r="P71" s="39"/>
      <c r="Q71" s="39"/>
      <c r="R71" s="39"/>
      <c r="S71" s="39"/>
      <c r="T71" s="39"/>
      <c r="U71" s="39"/>
      <c r="V71" s="39"/>
      <c r="W71" s="43">
        <f t="shared" ref="W71:AP71" si="89">W72+W76</f>
        <v>131861</v>
      </c>
      <c r="X71" s="43">
        <f t="shared" si="89"/>
        <v>0</v>
      </c>
      <c r="Y71" s="43">
        <f t="shared" si="89"/>
        <v>120768</v>
      </c>
      <c r="Z71" s="43">
        <f t="shared" si="89"/>
        <v>0</v>
      </c>
      <c r="AA71" s="43">
        <f t="shared" si="89"/>
        <v>120700</v>
      </c>
      <c r="AB71" s="235">
        <f t="shared" si="89"/>
        <v>120700</v>
      </c>
      <c r="AC71" s="235">
        <f t="shared" si="89"/>
        <v>0</v>
      </c>
      <c r="AD71" s="235">
        <f t="shared" si="89"/>
        <v>0</v>
      </c>
      <c r="AE71" s="235">
        <f t="shared" si="89"/>
        <v>0</v>
      </c>
      <c r="AF71" s="235">
        <f t="shared" si="89"/>
        <v>0</v>
      </c>
      <c r="AG71" s="235">
        <f t="shared" si="89"/>
        <v>0</v>
      </c>
      <c r="AH71" s="235">
        <f t="shared" si="89"/>
        <v>0</v>
      </c>
      <c r="AI71" s="235">
        <f t="shared" si="89"/>
        <v>7000</v>
      </c>
      <c r="AJ71" s="43">
        <f t="shared" si="89"/>
        <v>7000</v>
      </c>
      <c r="AK71" s="235">
        <f t="shared" si="89"/>
        <v>50000</v>
      </c>
      <c r="AL71" s="43">
        <f t="shared" si="89"/>
        <v>45000</v>
      </c>
      <c r="AM71" s="43">
        <f t="shared" si="89"/>
        <v>45000</v>
      </c>
      <c r="AN71" s="43">
        <f t="shared" si="89"/>
        <v>0</v>
      </c>
      <c r="AO71" s="43">
        <f t="shared" si="89"/>
        <v>0</v>
      </c>
      <c r="AP71" s="43">
        <f t="shared" si="89"/>
        <v>0</v>
      </c>
      <c r="AQ71" s="47"/>
      <c r="AR71" s="48">
        <f t="shared" si="82"/>
        <v>68700</v>
      </c>
      <c r="AS71" s="49" t="e">
        <f>#REF!-AL71</f>
        <v>#REF!</v>
      </c>
    </row>
    <row r="72" spans="1:45" s="50" customFormat="1" ht="36" customHeight="1">
      <c r="B72" s="36" t="s">
        <v>50</v>
      </c>
      <c r="C72" s="340" t="s">
        <v>174</v>
      </c>
      <c r="D72" s="247">
        <f t="shared" ref="D72:M72" si="90">D73</f>
        <v>2</v>
      </c>
      <c r="E72" s="43">
        <f t="shared" si="90"/>
        <v>0</v>
      </c>
      <c r="F72" s="43">
        <f t="shared" si="90"/>
        <v>0</v>
      </c>
      <c r="G72" s="43">
        <f t="shared" si="90"/>
        <v>0</v>
      </c>
      <c r="H72" s="43">
        <f t="shared" si="90"/>
        <v>0</v>
      </c>
      <c r="I72" s="43">
        <f t="shared" si="90"/>
        <v>2</v>
      </c>
      <c r="J72" s="43">
        <f t="shared" si="90"/>
        <v>10000</v>
      </c>
      <c r="K72" s="43">
        <f t="shared" si="90"/>
        <v>0</v>
      </c>
      <c r="L72" s="43">
        <f t="shared" si="90"/>
        <v>2</v>
      </c>
      <c r="M72" s="43">
        <f t="shared" si="90"/>
        <v>0</v>
      </c>
      <c r="N72" s="39"/>
      <c r="O72" s="39"/>
      <c r="P72" s="39"/>
      <c r="Q72" s="39"/>
      <c r="R72" s="39"/>
      <c r="S72" s="39"/>
      <c r="T72" s="39"/>
      <c r="U72" s="39"/>
      <c r="V72" s="39"/>
      <c r="W72" s="43">
        <f>W73</f>
        <v>25672</v>
      </c>
      <c r="X72" s="43">
        <f t="shared" ref="X72:AP72" si="91">X73</f>
        <v>0</v>
      </c>
      <c r="Y72" s="43">
        <f t="shared" si="91"/>
        <v>25668</v>
      </c>
      <c r="Z72" s="43">
        <f t="shared" si="91"/>
        <v>0</v>
      </c>
      <c r="AA72" s="43">
        <f t="shared" si="91"/>
        <v>25600</v>
      </c>
      <c r="AB72" s="235">
        <f t="shared" si="91"/>
        <v>25600</v>
      </c>
      <c r="AC72" s="235">
        <f t="shared" si="91"/>
        <v>0</v>
      </c>
      <c r="AD72" s="235">
        <f t="shared" si="91"/>
        <v>0</v>
      </c>
      <c r="AE72" s="235">
        <f t="shared" si="91"/>
        <v>0</v>
      </c>
      <c r="AF72" s="235">
        <f t="shared" si="91"/>
        <v>0</v>
      </c>
      <c r="AG72" s="235">
        <f t="shared" si="91"/>
        <v>0</v>
      </c>
      <c r="AH72" s="235">
        <f t="shared" si="91"/>
        <v>0</v>
      </c>
      <c r="AI72" s="235">
        <f t="shared" si="91"/>
        <v>7000</v>
      </c>
      <c r="AJ72" s="43">
        <f t="shared" si="91"/>
        <v>7000</v>
      </c>
      <c r="AK72" s="235">
        <f t="shared" si="91"/>
        <v>10000</v>
      </c>
      <c r="AL72" s="43">
        <f t="shared" si="91"/>
        <v>10000</v>
      </c>
      <c r="AM72" s="43">
        <f t="shared" si="91"/>
        <v>10000</v>
      </c>
      <c r="AN72" s="43">
        <f t="shared" si="91"/>
        <v>0</v>
      </c>
      <c r="AO72" s="43">
        <f t="shared" si="91"/>
        <v>0</v>
      </c>
      <c r="AP72" s="43">
        <f t="shared" si="91"/>
        <v>0</v>
      </c>
      <c r="AQ72" s="47"/>
      <c r="AR72" s="48"/>
      <c r="AS72" s="49"/>
    </row>
    <row r="73" spans="1:45" s="50" customFormat="1">
      <c r="B73" s="129" t="s">
        <v>106</v>
      </c>
      <c r="C73" s="348" t="s">
        <v>119</v>
      </c>
      <c r="D73" s="439">
        <f t="shared" ref="D73:M73" si="92">D74+D75</f>
        <v>2</v>
      </c>
      <c r="E73" s="69">
        <f t="shared" si="92"/>
        <v>0</v>
      </c>
      <c r="F73" s="69">
        <f t="shared" si="92"/>
        <v>0</v>
      </c>
      <c r="G73" s="69">
        <f t="shared" si="92"/>
        <v>0</v>
      </c>
      <c r="H73" s="69">
        <f t="shared" si="92"/>
        <v>0</v>
      </c>
      <c r="I73" s="69">
        <f t="shared" si="92"/>
        <v>2</v>
      </c>
      <c r="J73" s="69">
        <f t="shared" si="92"/>
        <v>10000</v>
      </c>
      <c r="K73" s="69">
        <f t="shared" si="92"/>
        <v>0</v>
      </c>
      <c r="L73" s="69">
        <f t="shared" si="92"/>
        <v>2</v>
      </c>
      <c r="M73" s="69">
        <f t="shared" si="92"/>
        <v>0</v>
      </c>
      <c r="N73" s="39"/>
      <c r="O73" s="39"/>
      <c r="P73" s="39"/>
      <c r="Q73" s="39"/>
      <c r="R73" s="39"/>
      <c r="S73" s="39"/>
      <c r="T73" s="39"/>
      <c r="U73" s="39"/>
      <c r="V73" s="39"/>
      <c r="W73" s="69">
        <f>W74+W75</f>
        <v>25672</v>
      </c>
      <c r="X73" s="69">
        <f t="shared" ref="X73:AP73" si="93">X74+X75</f>
        <v>0</v>
      </c>
      <c r="Y73" s="69">
        <f t="shared" si="93"/>
        <v>25668</v>
      </c>
      <c r="Z73" s="69">
        <f t="shared" si="93"/>
        <v>0</v>
      </c>
      <c r="AA73" s="69">
        <f t="shared" si="93"/>
        <v>25600</v>
      </c>
      <c r="AB73" s="236">
        <f t="shared" si="93"/>
        <v>25600</v>
      </c>
      <c r="AC73" s="236">
        <f t="shared" si="93"/>
        <v>0</v>
      </c>
      <c r="AD73" s="236">
        <f t="shared" si="93"/>
        <v>0</v>
      </c>
      <c r="AE73" s="236">
        <f t="shared" si="93"/>
        <v>0</v>
      </c>
      <c r="AF73" s="236">
        <f t="shared" si="93"/>
        <v>0</v>
      </c>
      <c r="AG73" s="236">
        <f t="shared" si="93"/>
        <v>0</v>
      </c>
      <c r="AH73" s="236">
        <f t="shared" si="93"/>
        <v>0</v>
      </c>
      <c r="AI73" s="236">
        <f t="shared" si="93"/>
        <v>7000</v>
      </c>
      <c r="AJ73" s="69">
        <f t="shared" si="93"/>
        <v>7000</v>
      </c>
      <c r="AK73" s="236">
        <f t="shared" si="93"/>
        <v>10000</v>
      </c>
      <c r="AL73" s="69">
        <f t="shared" si="93"/>
        <v>10000</v>
      </c>
      <c r="AM73" s="69">
        <f t="shared" si="93"/>
        <v>10000</v>
      </c>
      <c r="AN73" s="69">
        <f t="shared" si="93"/>
        <v>0</v>
      </c>
      <c r="AO73" s="69">
        <f t="shared" si="93"/>
        <v>0</v>
      </c>
      <c r="AP73" s="69">
        <f t="shared" si="93"/>
        <v>0</v>
      </c>
      <c r="AQ73" s="47"/>
      <c r="AR73" s="48"/>
      <c r="AS73" s="49"/>
    </row>
    <row r="74" spans="1:45" s="50" customFormat="1" ht="53.45" customHeight="1">
      <c r="A74" s="50" t="s">
        <v>749</v>
      </c>
      <c r="B74" s="237">
        <v>1</v>
      </c>
      <c r="C74" s="125" t="s">
        <v>848</v>
      </c>
      <c r="D74" s="93">
        <v>1</v>
      </c>
      <c r="E74" s="47"/>
      <c r="F74" s="47"/>
      <c r="G74" s="47"/>
      <c r="H74" s="47"/>
      <c r="I74" s="47">
        <v>1</v>
      </c>
      <c r="J74" s="47">
        <f>I74*AL74</f>
        <v>5000</v>
      </c>
      <c r="K74" s="47"/>
      <c r="L74" s="47">
        <v>1</v>
      </c>
      <c r="M74" s="242"/>
      <c r="N74" s="39" t="s">
        <v>108</v>
      </c>
      <c r="O74" s="39" t="s">
        <v>109</v>
      </c>
      <c r="P74" s="39" t="s">
        <v>29</v>
      </c>
      <c r="Q74" s="39"/>
      <c r="R74" s="39"/>
      <c r="S74" s="39"/>
      <c r="T74" s="39" t="s">
        <v>115</v>
      </c>
      <c r="U74" s="93"/>
      <c r="V74" s="39" t="s">
        <v>669</v>
      </c>
      <c r="W74" s="68">
        <v>12504</v>
      </c>
      <c r="X74" s="235"/>
      <c r="Y74" s="68">
        <v>12500</v>
      </c>
      <c r="Z74" s="235"/>
      <c r="AA74" s="59">
        <f>AB74+AC74+AD74+AE74</f>
        <v>12500</v>
      </c>
      <c r="AB74" s="250">
        <v>12500</v>
      </c>
      <c r="AC74" s="235"/>
      <c r="AD74" s="235"/>
      <c r="AE74" s="235"/>
      <c r="AF74" s="235"/>
      <c r="AG74" s="235"/>
      <c r="AH74" s="235"/>
      <c r="AI74" s="120">
        <v>3500</v>
      </c>
      <c r="AJ74" s="47">
        <f>AF74+AI74</f>
        <v>3500</v>
      </c>
      <c r="AK74" s="120">
        <v>5000</v>
      </c>
      <c r="AL74" s="47">
        <f t="shared" ref="AL74:AL75" si="94">AM74+AN74+AO74</f>
        <v>5000</v>
      </c>
      <c r="AM74" s="47">
        <v>5000</v>
      </c>
      <c r="AN74" s="43"/>
      <c r="AO74" s="43"/>
      <c r="AP74" s="43"/>
      <c r="AQ74" s="93"/>
      <c r="AR74" s="48"/>
      <c r="AS74" s="49"/>
    </row>
    <row r="75" spans="1:45" s="50" customFormat="1" ht="49.5" customHeight="1">
      <c r="A75" s="50" t="s">
        <v>749</v>
      </c>
      <c r="B75" s="243">
        <v>2</v>
      </c>
      <c r="C75" s="125" t="s">
        <v>671</v>
      </c>
      <c r="D75" s="93">
        <v>1</v>
      </c>
      <c r="E75" s="47"/>
      <c r="F75" s="47"/>
      <c r="G75" s="47"/>
      <c r="H75" s="47"/>
      <c r="I75" s="47">
        <v>1</v>
      </c>
      <c r="J75" s="47">
        <f>I75*AL75</f>
        <v>5000</v>
      </c>
      <c r="K75" s="47"/>
      <c r="L75" s="47">
        <v>1</v>
      </c>
      <c r="M75" s="242"/>
      <c r="N75" s="39" t="s">
        <v>195</v>
      </c>
      <c r="O75" s="39" t="s">
        <v>109</v>
      </c>
      <c r="P75" s="39" t="s">
        <v>29</v>
      </c>
      <c r="Q75" s="39"/>
      <c r="R75" s="39"/>
      <c r="S75" s="39"/>
      <c r="T75" s="39" t="s">
        <v>115</v>
      </c>
      <c r="U75" s="93"/>
      <c r="V75" s="39" t="s">
        <v>670</v>
      </c>
      <c r="W75" s="68">
        <v>13168</v>
      </c>
      <c r="X75" s="235"/>
      <c r="Y75" s="68">
        <v>13168</v>
      </c>
      <c r="Z75" s="235"/>
      <c r="AA75" s="59">
        <f>AB75+AC75+AD75+AE75</f>
        <v>13100</v>
      </c>
      <c r="AB75" s="250">
        <v>13100</v>
      </c>
      <c r="AC75" s="235"/>
      <c r="AD75" s="235"/>
      <c r="AE75" s="235"/>
      <c r="AF75" s="235"/>
      <c r="AG75" s="235"/>
      <c r="AH75" s="235"/>
      <c r="AI75" s="120">
        <v>3500</v>
      </c>
      <c r="AJ75" s="47">
        <f>AF75+AI75</f>
        <v>3500</v>
      </c>
      <c r="AK75" s="120">
        <v>5000</v>
      </c>
      <c r="AL75" s="47">
        <f t="shared" si="94"/>
        <v>5000</v>
      </c>
      <c r="AM75" s="47">
        <v>5000</v>
      </c>
      <c r="AN75" s="43"/>
      <c r="AO75" s="43"/>
      <c r="AP75" s="43"/>
      <c r="AQ75" s="93"/>
      <c r="AR75" s="48"/>
      <c r="AS75" s="49"/>
    </row>
    <row r="76" spans="1:45" s="72" customFormat="1" ht="33" customHeight="1">
      <c r="B76" s="36" t="s">
        <v>51</v>
      </c>
      <c r="C76" s="340" t="s">
        <v>120</v>
      </c>
      <c r="D76" s="247">
        <f t="shared" ref="D76:M76" si="95">D77</f>
        <v>3</v>
      </c>
      <c r="E76" s="43">
        <f t="shared" si="95"/>
        <v>3</v>
      </c>
      <c r="F76" s="43">
        <f t="shared" si="95"/>
        <v>35000</v>
      </c>
      <c r="G76" s="43">
        <f t="shared" si="95"/>
        <v>0</v>
      </c>
      <c r="H76" s="43">
        <f t="shared" si="95"/>
        <v>0</v>
      </c>
      <c r="I76" s="43">
        <f t="shared" si="95"/>
        <v>0</v>
      </c>
      <c r="J76" s="43">
        <f t="shared" si="95"/>
        <v>0</v>
      </c>
      <c r="K76" s="43">
        <f t="shared" si="95"/>
        <v>0</v>
      </c>
      <c r="L76" s="43">
        <f t="shared" si="95"/>
        <v>3</v>
      </c>
      <c r="M76" s="43">
        <f t="shared" si="95"/>
        <v>0</v>
      </c>
      <c r="N76" s="80"/>
      <c r="O76" s="80"/>
      <c r="P76" s="80"/>
      <c r="Q76" s="80"/>
      <c r="R76" s="80"/>
      <c r="S76" s="80"/>
      <c r="T76" s="80"/>
      <c r="U76" s="80"/>
      <c r="V76" s="80"/>
      <c r="W76" s="43">
        <f>W77</f>
        <v>106189</v>
      </c>
      <c r="X76" s="235">
        <f t="shared" ref="X76:AJ76" si="96">X77</f>
        <v>0</v>
      </c>
      <c r="Y76" s="43">
        <f t="shared" si="96"/>
        <v>95100</v>
      </c>
      <c r="Z76" s="235">
        <f t="shared" si="96"/>
        <v>0</v>
      </c>
      <c r="AA76" s="43">
        <f t="shared" si="96"/>
        <v>95100</v>
      </c>
      <c r="AB76" s="235">
        <f t="shared" si="96"/>
        <v>95100</v>
      </c>
      <c r="AC76" s="235">
        <f t="shared" si="96"/>
        <v>0</v>
      </c>
      <c r="AD76" s="235">
        <f t="shared" si="96"/>
        <v>0</v>
      </c>
      <c r="AE76" s="235">
        <f t="shared" si="96"/>
        <v>0</v>
      </c>
      <c r="AF76" s="235">
        <f t="shared" si="96"/>
        <v>0</v>
      </c>
      <c r="AG76" s="235">
        <f t="shared" si="96"/>
        <v>0</v>
      </c>
      <c r="AH76" s="235">
        <f t="shared" si="96"/>
        <v>0</v>
      </c>
      <c r="AI76" s="235">
        <f t="shared" si="96"/>
        <v>0</v>
      </c>
      <c r="AJ76" s="43">
        <f t="shared" si="96"/>
        <v>0</v>
      </c>
      <c r="AK76" s="235">
        <f t="shared" ref="AK76:AP76" si="97">AK77</f>
        <v>40000</v>
      </c>
      <c r="AL76" s="43">
        <f t="shared" si="97"/>
        <v>35000</v>
      </c>
      <c r="AM76" s="43">
        <f t="shared" si="97"/>
        <v>35000</v>
      </c>
      <c r="AN76" s="43">
        <f t="shared" si="97"/>
        <v>0</v>
      </c>
      <c r="AO76" s="43">
        <f t="shared" si="97"/>
        <v>0</v>
      </c>
      <c r="AP76" s="43">
        <f t="shared" si="97"/>
        <v>0</v>
      </c>
      <c r="AQ76" s="43"/>
      <c r="AR76" s="48">
        <f>AA76-(AF76+AI76+AL76)</f>
        <v>60100</v>
      </c>
      <c r="AS76" s="49" t="e">
        <f>#REF!-AL76</f>
        <v>#REF!</v>
      </c>
    </row>
    <row r="77" spans="1:45" s="244" customFormat="1" ht="18" customHeight="1">
      <c r="B77" s="129" t="s">
        <v>121</v>
      </c>
      <c r="C77" s="348" t="s">
        <v>119</v>
      </c>
      <c r="D77" s="439">
        <f t="shared" ref="D77:M77" si="98">D78+D79+D80</f>
        <v>3</v>
      </c>
      <c r="E77" s="69">
        <f t="shared" si="98"/>
        <v>3</v>
      </c>
      <c r="F77" s="69">
        <f t="shared" si="98"/>
        <v>35000</v>
      </c>
      <c r="G77" s="69">
        <f t="shared" si="98"/>
        <v>0</v>
      </c>
      <c r="H77" s="69">
        <f t="shared" si="98"/>
        <v>0</v>
      </c>
      <c r="I77" s="69">
        <f t="shared" si="98"/>
        <v>0</v>
      </c>
      <c r="J77" s="69">
        <f t="shared" si="98"/>
        <v>0</v>
      </c>
      <c r="K77" s="69">
        <f t="shared" si="98"/>
        <v>0</v>
      </c>
      <c r="L77" s="69">
        <f t="shared" si="98"/>
        <v>3</v>
      </c>
      <c r="M77" s="69">
        <f t="shared" si="98"/>
        <v>0</v>
      </c>
      <c r="N77" s="245"/>
      <c r="O77" s="245"/>
      <c r="P77" s="245"/>
      <c r="Q77" s="245"/>
      <c r="R77" s="245"/>
      <c r="S77" s="245"/>
      <c r="T77" s="245"/>
      <c r="U77" s="245"/>
      <c r="V77" s="245"/>
      <c r="W77" s="69">
        <f>W78+W79+W80</f>
        <v>106189</v>
      </c>
      <c r="X77" s="69">
        <f t="shared" ref="X77:AP77" si="99">X78+X79+X80</f>
        <v>0</v>
      </c>
      <c r="Y77" s="69">
        <f t="shared" si="99"/>
        <v>95100</v>
      </c>
      <c r="Z77" s="69">
        <f t="shared" si="99"/>
        <v>0</v>
      </c>
      <c r="AA77" s="69">
        <f t="shared" si="99"/>
        <v>95100</v>
      </c>
      <c r="AB77" s="236">
        <f t="shared" si="99"/>
        <v>95100</v>
      </c>
      <c r="AC77" s="236">
        <f t="shared" si="99"/>
        <v>0</v>
      </c>
      <c r="AD77" s="236">
        <f t="shared" si="99"/>
        <v>0</v>
      </c>
      <c r="AE77" s="236">
        <f t="shared" si="99"/>
        <v>0</v>
      </c>
      <c r="AF77" s="236">
        <f t="shared" si="99"/>
        <v>0</v>
      </c>
      <c r="AG77" s="236">
        <f t="shared" si="99"/>
        <v>0</v>
      </c>
      <c r="AH77" s="236">
        <f t="shared" si="99"/>
        <v>0</v>
      </c>
      <c r="AI77" s="236">
        <f t="shared" si="99"/>
        <v>0</v>
      </c>
      <c r="AJ77" s="69">
        <f t="shared" si="99"/>
        <v>0</v>
      </c>
      <c r="AK77" s="236">
        <f t="shared" si="99"/>
        <v>40000</v>
      </c>
      <c r="AL77" s="69">
        <f t="shared" si="99"/>
        <v>35000</v>
      </c>
      <c r="AM77" s="69">
        <f t="shared" si="99"/>
        <v>35000</v>
      </c>
      <c r="AN77" s="69">
        <f t="shared" si="99"/>
        <v>0</v>
      </c>
      <c r="AO77" s="69">
        <f t="shared" si="99"/>
        <v>0</v>
      </c>
      <c r="AP77" s="69">
        <f t="shared" si="99"/>
        <v>0</v>
      </c>
      <c r="AQ77" s="69"/>
      <c r="AR77" s="131">
        <f>AA77-(AF77+AI77+AL77)</f>
        <v>60100</v>
      </c>
      <c r="AS77" s="132" t="e">
        <f>#REF!-AL77</f>
        <v>#REF!</v>
      </c>
    </row>
    <row r="78" spans="1:45" s="50" customFormat="1" ht="51.95" customHeight="1">
      <c r="A78" s="50" t="s">
        <v>104</v>
      </c>
      <c r="B78" s="237">
        <v>1</v>
      </c>
      <c r="C78" s="345" t="s">
        <v>758</v>
      </c>
      <c r="D78" s="93">
        <v>1</v>
      </c>
      <c r="E78" s="47">
        <v>1</v>
      </c>
      <c r="F78" s="47">
        <f>E78*AL78</f>
        <v>15000</v>
      </c>
      <c r="G78" s="47"/>
      <c r="H78" s="47"/>
      <c r="I78" s="47"/>
      <c r="J78" s="47"/>
      <c r="K78" s="47"/>
      <c r="L78" s="47">
        <v>1</v>
      </c>
      <c r="M78" s="242"/>
      <c r="N78" s="39" t="s">
        <v>532</v>
      </c>
      <c r="O78" s="39" t="s">
        <v>109</v>
      </c>
      <c r="P78" s="39" t="s">
        <v>29</v>
      </c>
      <c r="Q78" s="39"/>
      <c r="R78" s="39"/>
      <c r="S78" s="39"/>
      <c r="T78" s="39" t="s">
        <v>115</v>
      </c>
      <c r="U78" s="39"/>
      <c r="V78" s="39" t="s">
        <v>760</v>
      </c>
      <c r="W78" s="47">
        <v>44948</v>
      </c>
      <c r="X78" s="235"/>
      <c r="Y78" s="47">
        <v>40000</v>
      </c>
      <c r="Z78" s="235"/>
      <c r="AA78" s="47">
        <v>40000</v>
      </c>
      <c r="AB78" s="120">
        <v>40000</v>
      </c>
      <c r="AC78" s="235"/>
      <c r="AD78" s="235"/>
      <c r="AE78" s="235"/>
      <c r="AF78" s="235"/>
      <c r="AG78" s="235"/>
      <c r="AH78" s="235"/>
      <c r="AI78" s="235"/>
      <c r="AJ78" s="47">
        <f>AF78+AI78</f>
        <v>0</v>
      </c>
      <c r="AK78" s="120">
        <v>20000</v>
      </c>
      <c r="AL78" s="47">
        <f t="shared" ref="AL78:AL80" si="100">AM78+AN78+AO78</f>
        <v>15000</v>
      </c>
      <c r="AM78" s="47">
        <v>15000</v>
      </c>
      <c r="AN78" s="43"/>
      <c r="AO78" s="43"/>
      <c r="AP78" s="43"/>
      <c r="AQ78" s="47"/>
      <c r="AR78" s="48">
        <f>AA78-(AF78+AI78+AL78)</f>
        <v>25000</v>
      </c>
      <c r="AS78" s="49" t="e">
        <f>#REF!-AL78</f>
        <v>#REF!</v>
      </c>
    </row>
    <row r="79" spans="1:45" s="50" customFormat="1" ht="51.95" customHeight="1">
      <c r="A79" s="50" t="s">
        <v>104</v>
      </c>
      <c r="B79" s="237">
        <v>2</v>
      </c>
      <c r="C79" s="345" t="s">
        <v>759</v>
      </c>
      <c r="D79" s="93">
        <v>1</v>
      </c>
      <c r="E79" s="47">
        <v>1</v>
      </c>
      <c r="F79" s="47">
        <f>E79*AL79</f>
        <v>10000</v>
      </c>
      <c r="G79" s="47"/>
      <c r="H79" s="47"/>
      <c r="I79" s="47"/>
      <c r="J79" s="47"/>
      <c r="K79" s="47"/>
      <c r="L79" s="47">
        <v>1</v>
      </c>
      <c r="M79" s="242"/>
      <c r="N79" s="39" t="s">
        <v>532</v>
      </c>
      <c r="O79" s="39" t="s">
        <v>109</v>
      </c>
      <c r="P79" s="39" t="s">
        <v>29</v>
      </c>
      <c r="Q79" s="39"/>
      <c r="R79" s="39"/>
      <c r="S79" s="39"/>
      <c r="T79" s="39" t="s">
        <v>115</v>
      </c>
      <c r="U79" s="39" t="s">
        <v>533</v>
      </c>
      <c r="V79" s="39" t="s">
        <v>761</v>
      </c>
      <c r="W79" s="47">
        <v>27253</v>
      </c>
      <c r="X79" s="235"/>
      <c r="Y79" s="47">
        <v>24500</v>
      </c>
      <c r="Z79" s="235"/>
      <c r="AA79" s="47">
        <v>24500</v>
      </c>
      <c r="AB79" s="120">
        <v>24500</v>
      </c>
      <c r="AC79" s="235"/>
      <c r="AD79" s="235"/>
      <c r="AE79" s="235"/>
      <c r="AF79" s="235"/>
      <c r="AG79" s="235"/>
      <c r="AH79" s="235"/>
      <c r="AI79" s="235"/>
      <c r="AJ79" s="47">
        <f>AF79+AI79</f>
        <v>0</v>
      </c>
      <c r="AK79" s="120">
        <v>10000</v>
      </c>
      <c r="AL79" s="47">
        <f t="shared" si="100"/>
        <v>10000</v>
      </c>
      <c r="AM79" s="47">
        <v>10000</v>
      </c>
      <c r="AN79" s="43"/>
      <c r="AO79" s="43"/>
      <c r="AP79" s="43"/>
      <c r="AQ79" s="47"/>
      <c r="AR79" s="48">
        <f>AA79-(AF79+AI79+AL79)</f>
        <v>14500</v>
      </c>
      <c r="AS79" s="49" t="e">
        <f>#REF!-AL79</f>
        <v>#REF!</v>
      </c>
    </row>
    <row r="80" spans="1:45" s="50" customFormat="1" ht="51" customHeight="1">
      <c r="A80" s="50" t="s">
        <v>749</v>
      </c>
      <c r="B80" s="237">
        <v>3</v>
      </c>
      <c r="C80" s="125" t="s">
        <v>667</v>
      </c>
      <c r="D80" s="93">
        <v>1</v>
      </c>
      <c r="E80" s="47">
        <v>1</v>
      </c>
      <c r="F80" s="47">
        <f>E80*AL80</f>
        <v>10000</v>
      </c>
      <c r="G80" s="47"/>
      <c r="H80" s="47"/>
      <c r="I80" s="47"/>
      <c r="J80" s="47"/>
      <c r="K80" s="47"/>
      <c r="L80" s="47">
        <v>1</v>
      </c>
      <c r="M80" s="242"/>
      <c r="N80" s="39" t="s">
        <v>532</v>
      </c>
      <c r="O80" s="39" t="s">
        <v>109</v>
      </c>
      <c r="P80" s="39" t="s">
        <v>29</v>
      </c>
      <c r="Q80" s="39"/>
      <c r="R80" s="39"/>
      <c r="S80" s="39"/>
      <c r="T80" s="39" t="s">
        <v>115</v>
      </c>
      <c r="U80" s="93"/>
      <c r="V80" s="39" t="s">
        <v>668</v>
      </c>
      <c r="W80" s="68">
        <v>33988</v>
      </c>
      <c r="X80" s="235"/>
      <c r="Y80" s="68">
        <v>30600</v>
      </c>
      <c r="Z80" s="235"/>
      <c r="AA80" s="59">
        <f>AB80+AC80+AD80+AE80</f>
        <v>30600</v>
      </c>
      <c r="AB80" s="250">
        <v>30600</v>
      </c>
      <c r="AC80" s="235"/>
      <c r="AD80" s="235"/>
      <c r="AE80" s="235"/>
      <c r="AF80" s="235"/>
      <c r="AG80" s="235"/>
      <c r="AH80" s="235"/>
      <c r="AI80" s="235"/>
      <c r="AJ80" s="43"/>
      <c r="AK80" s="120">
        <v>10000</v>
      </c>
      <c r="AL80" s="47">
        <f t="shared" si="100"/>
        <v>10000</v>
      </c>
      <c r="AM80" s="47">
        <v>10000</v>
      </c>
      <c r="AN80" s="43"/>
      <c r="AO80" s="43"/>
      <c r="AP80" s="43"/>
      <c r="AQ80" s="93"/>
      <c r="AR80" s="48"/>
      <c r="AS80" s="49" t="e">
        <f>#REF!-AL80</f>
        <v>#REF!</v>
      </c>
    </row>
    <row r="81" spans="1:45" s="50" customFormat="1">
      <c r="B81" s="80"/>
      <c r="C81" s="340"/>
      <c r="D81" s="247"/>
      <c r="E81" s="43"/>
      <c r="F81" s="43"/>
      <c r="G81" s="43"/>
      <c r="H81" s="43"/>
      <c r="I81" s="43"/>
      <c r="J81" s="43"/>
      <c r="K81" s="43"/>
      <c r="L81" s="43"/>
      <c r="M81" s="246"/>
      <c r="N81" s="91"/>
      <c r="O81" s="39"/>
      <c r="P81" s="39"/>
      <c r="Q81" s="39"/>
      <c r="R81" s="39"/>
      <c r="S81" s="39"/>
      <c r="T81" s="39"/>
      <c r="U81" s="39"/>
      <c r="V81" s="39"/>
      <c r="W81" s="43"/>
      <c r="X81" s="235"/>
      <c r="Y81" s="43"/>
      <c r="Z81" s="235"/>
      <c r="AA81" s="43"/>
      <c r="AB81" s="235"/>
      <c r="AC81" s="235"/>
      <c r="AD81" s="235"/>
      <c r="AE81" s="235"/>
      <c r="AF81" s="235"/>
      <c r="AG81" s="235"/>
      <c r="AH81" s="235"/>
      <c r="AI81" s="235"/>
      <c r="AJ81" s="43"/>
      <c r="AK81" s="235"/>
      <c r="AL81" s="43"/>
      <c r="AM81" s="43"/>
      <c r="AN81" s="43"/>
      <c r="AO81" s="43"/>
      <c r="AP81" s="43"/>
      <c r="AQ81" s="47"/>
      <c r="AR81" s="48">
        <f>AA81-(AF81+AI81+AL81)</f>
        <v>0</v>
      </c>
      <c r="AS81" s="49" t="e">
        <f>#REF!-AL81</f>
        <v>#REF!</v>
      </c>
    </row>
    <row r="82" spans="1:45" s="72" customFormat="1" ht="36.950000000000003" customHeight="1">
      <c r="B82" s="36" t="s">
        <v>859</v>
      </c>
      <c r="C82" s="349" t="s">
        <v>37</v>
      </c>
      <c r="D82" s="247">
        <f t="shared" ref="D82:M82" si="101">D83+D97+D217+D227+D230</f>
        <v>108</v>
      </c>
      <c r="E82" s="43">
        <f t="shared" si="101"/>
        <v>6</v>
      </c>
      <c r="F82" s="43">
        <f t="shared" si="101"/>
        <v>22000</v>
      </c>
      <c r="G82" s="43">
        <f t="shared" si="101"/>
        <v>34</v>
      </c>
      <c r="H82" s="43">
        <f t="shared" si="101"/>
        <v>247540</v>
      </c>
      <c r="I82" s="43">
        <f t="shared" si="101"/>
        <v>68</v>
      </c>
      <c r="J82" s="43">
        <f t="shared" si="101"/>
        <v>380300</v>
      </c>
      <c r="K82" s="43" t="e">
        <f t="shared" si="101"/>
        <v>#REF!</v>
      </c>
      <c r="L82" s="43" t="e">
        <f t="shared" si="101"/>
        <v>#REF!</v>
      </c>
      <c r="M82" s="43" t="e">
        <f t="shared" si="101"/>
        <v>#REF!</v>
      </c>
      <c r="N82" s="80"/>
      <c r="O82" s="80"/>
      <c r="P82" s="80"/>
      <c r="Q82" s="80"/>
      <c r="R82" s="80"/>
      <c r="S82" s="247"/>
      <c r="T82" s="80"/>
      <c r="U82" s="80"/>
      <c r="V82" s="80"/>
      <c r="W82" s="43">
        <f t="shared" ref="W82:AO82" si="102">W83+W97+W217+W227+W230</f>
        <v>4100863.2829999998</v>
      </c>
      <c r="X82" s="235" t="e">
        <f t="shared" si="102"/>
        <v>#REF!</v>
      </c>
      <c r="Y82" s="43">
        <f t="shared" si="102"/>
        <v>2641947.2829999998</v>
      </c>
      <c r="Z82" s="235" t="e">
        <f t="shared" si="102"/>
        <v>#REF!</v>
      </c>
      <c r="AA82" s="43">
        <f t="shared" si="102"/>
        <v>2632245</v>
      </c>
      <c r="AB82" s="235" t="e">
        <f t="shared" si="102"/>
        <v>#REF!</v>
      </c>
      <c r="AC82" s="235" t="e">
        <f t="shared" si="102"/>
        <v>#REF!</v>
      </c>
      <c r="AD82" s="235" t="e">
        <f t="shared" si="102"/>
        <v>#REF!</v>
      </c>
      <c r="AE82" s="235" t="e">
        <f t="shared" si="102"/>
        <v>#REF!</v>
      </c>
      <c r="AF82" s="235">
        <f t="shared" si="102"/>
        <v>527371.777</v>
      </c>
      <c r="AG82" s="235" t="e">
        <f t="shared" si="102"/>
        <v>#REF!</v>
      </c>
      <c r="AH82" s="235" t="e">
        <f t="shared" si="102"/>
        <v>#REF!</v>
      </c>
      <c r="AI82" s="235">
        <f t="shared" si="102"/>
        <v>643616</v>
      </c>
      <c r="AJ82" s="43">
        <f t="shared" si="102"/>
        <v>1170987.777</v>
      </c>
      <c r="AK82" s="235">
        <f t="shared" si="102"/>
        <v>1118845</v>
      </c>
      <c r="AL82" s="43">
        <f t="shared" si="102"/>
        <v>649840</v>
      </c>
      <c r="AM82" s="43">
        <f t="shared" si="102"/>
        <v>0</v>
      </c>
      <c r="AN82" s="43">
        <f t="shared" si="102"/>
        <v>649840</v>
      </c>
      <c r="AO82" s="43">
        <f t="shared" si="102"/>
        <v>0</v>
      </c>
      <c r="AP82" s="43"/>
      <c r="AQ82" s="43"/>
      <c r="AR82" s="48">
        <f>AA82-(AF82+AI82+AL82)</f>
        <v>811417.223</v>
      </c>
      <c r="AS82" s="49" t="e">
        <f>#REF!-AL82</f>
        <v>#REF!</v>
      </c>
    </row>
    <row r="83" spans="1:45" s="50" customFormat="1" ht="52.5" customHeight="1">
      <c r="B83" s="36" t="s">
        <v>50</v>
      </c>
      <c r="C83" s="349" t="s">
        <v>849</v>
      </c>
      <c r="D83" s="247">
        <f t="shared" ref="D83:M83" si="103">D84+D88</f>
        <v>6</v>
      </c>
      <c r="E83" s="43">
        <f t="shared" si="103"/>
        <v>5</v>
      </c>
      <c r="F83" s="43">
        <f t="shared" si="103"/>
        <v>15000</v>
      </c>
      <c r="G83" s="43">
        <f t="shared" si="103"/>
        <v>1</v>
      </c>
      <c r="H83" s="43">
        <f t="shared" si="103"/>
        <v>1000</v>
      </c>
      <c r="I83" s="43">
        <f t="shared" si="103"/>
        <v>0</v>
      </c>
      <c r="J83" s="43">
        <f t="shared" si="103"/>
        <v>0</v>
      </c>
      <c r="K83" s="43">
        <f t="shared" si="103"/>
        <v>0</v>
      </c>
      <c r="L83" s="43">
        <f t="shared" si="103"/>
        <v>6</v>
      </c>
      <c r="M83" s="43">
        <f t="shared" si="103"/>
        <v>0</v>
      </c>
      <c r="N83" s="39"/>
      <c r="O83" s="39"/>
      <c r="P83" s="39"/>
      <c r="Q83" s="39"/>
      <c r="R83" s="39"/>
      <c r="S83" s="39"/>
      <c r="T83" s="39"/>
      <c r="U83" s="39"/>
      <c r="V83" s="39"/>
      <c r="W83" s="43">
        <f t="shared" ref="W83" si="104">W84+W88</f>
        <v>49473.283000000003</v>
      </c>
      <c r="X83" s="235">
        <f t="shared" ref="X83" si="105">X84+X88</f>
        <v>0</v>
      </c>
      <c r="Y83" s="43">
        <f t="shared" ref="Y83" si="106">Y84+Y88</f>
        <v>22924.282999999999</v>
      </c>
      <c r="Z83" s="235">
        <f t="shared" ref="Z83" si="107">Z84+Z88</f>
        <v>0</v>
      </c>
      <c r="AA83" s="43">
        <f t="shared" ref="AA83" si="108">AA84+AA88</f>
        <v>18000</v>
      </c>
      <c r="AB83" s="235">
        <f t="shared" ref="AB83" si="109">AB84+AB88</f>
        <v>0</v>
      </c>
      <c r="AC83" s="235">
        <f t="shared" ref="AC83" si="110">AC84+AC88</f>
        <v>18000</v>
      </c>
      <c r="AD83" s="235">
        <f t="shared" ref="AD83" si="111">AD84+AD88</f>
        <v>0</v>
      </c>
      <c r="AE83" s="235">
        <f t="shared" ref="AE83" si="112">AE84+AE88</f>
        <v>0</v>
      </c>
      <c r="AF83" s="235">
        <f t="shared" ref="AF83" si="113">AF84+AF88</f>
        <v>0</v>
      </c>
      <c r="AG83" s="235">
        <f t="shared" ref="AG83" si="114">AG84+AG88</f>
        <v>2000</v>
      </c>
      <c r="AH83" s="235">
        <f t="shared" ref="AH83" si="115">AH84+AH88</f>
        <v>0</v>
      </c>
      <c r="AI83" s="235">
        <f t="shared" ref="AI83:AJ83" si="116">AI84+AI88</f>
        <v>2000</v>
      </c>
      <c r="AJ83" s="43">
        <f t="shared" si="116"/>
        <v>2000</v>
      </c>
      <c r="AK83" s="235">
        <f t="shared" ref="AK83" si="117">AK84+AK88</f>
        <v>16000</v>
      </c>
      <c r="AL83" s="43">
        <f t="shared" ref="AL83" si="118">AL84+AL88</f>
        <v>16000</v>
      </c>
      <c r="AM83" s="43">
        <f t="shared" ref="AM83" si="119">AM84+AM88</f>
        <v>0</v>
      </c>
      <c r="AN83" s="43">
        <f t="shared" ref="AN83" si="120">AN84+AN88</f>
        <v>16000</v>
      </c>
      <c r="AO83" s="43">
        <f t="shared" ref="AO83" si="121">AO84+AO88</f>
        <v>0</v>
      </c>
      <c r="AP83" s="43"/>
      <c r="AQ83" s="47"/>
      <c r="AR83" s="48">
        <f>AA83-(AF83+AI83+AL83)</f>
        <v>0</v>
      </c>
      <c r="AS83" s="49" t="e">
        <f>#REF!-AL83</f>
        <v>#REF!</v>
      </c>
    </row>
    <row r="84" spans="1:45" s="50" customFormat="1" ht="30.95" customHeight="1">
      <c r="B84" s="36" t="s">
        <v>106</v>
      </c>
      <c r="C84" s="340" t="s">
        <v>175</v>
      </c>
      <c r="D84" s="247">
        <f t="shared" ref="D84:M86" si="122">D85</f>
        <v>1</v>
      </c>
      <c r="E84" s="43">
        <f t="shared" si="122"/>
        <v>0</v>
      </c>
      <c r="F84" s="43">
        <f t="shared" si="122"/>
        <v>0</v>
      </c>
      <c r="G84" s="43">
        <f t="shared" si="122"/>
        <v>1</v>
      </c>
      <c r="H84" s="43">
        <f t="shared" si="122"/>
        <v>1000</v>
      </c>
      <c r="I84" s="43">
        <f t="shared" si="122"/>
        <v>0</v>
      </c>
      <c r="J84" s="43">
        <f t="shared" si="122"/>
        <v>0</v>
      </c>
      <c r="K84" s="43">
        <f t="shared" si="122"/>
        <v>0</v>
      </c>
      <c r="L84" s="43">
        <f t="shared" si="122"/>
        <v>1</v>
      </c>
      <c r="M84" s="43">
        <f t="shared" si="122"/>
        <v>0</v>
      </c>
      <c r="N84" s="39"/>
      <c r="O84" s="39"/>
      <c r="P84" s="39"/>
      <c r="Q84" s="39"/>
      <c r="R84" s="39"/>
      <c r="S84" s="39"/>
      <c r="T84" s="39"/>
      <c r="U84" s="39"/>
      <c r="V84" s="39"/>
      <c r="W84" s="43">
        <f t="shared" ref="W84" si="123">W85</f>
        <v>7924.2830000000004</v>
      </c>
      <c r="X84" s="235">
        <f t="shared" ref="X84:X86" si="124">X85</f>
        <v>0</v>
      </c>
      <c r="Y84" s="43">
        <f t="shared" ref="Y84:Y86" si="125">Y85</f>
        <v>7924.2830000000004</v>
      </c>
      <c r="Z84" s="235">
        <f t="shared" ref="Z84:Z86" si="126">Z85</f>
        <v>0</v>
      </c>
      <c r="AA84" s="43">
        <f t="shared" ref="AA84:AA86" si="127">AA85</f>
        <v>3000</v>
      </c>
      <c r="AB84" s="235">
        <f t="shared" ref="AB84:AB86" si="128">AB85</f>
        <v>0</v>
      </c>
      <c r="AC84" s="235">
        <f t="shared" ref="AC84:AC86" si="129">AC85</f>
        <v>3000</v>
      </c>
      <c r="AD84" s="235">
        <f t="shared" ref="AD84:AD86" si="130">AD85</f>
        <v>0</v>
      </c>
      <c r="AE84" s="235">
        <f t="shared" ref="AE84:AE86" si="131">AE85</f>
        <v>0</v>
      </c>
      <c r="AF84" s="235">
        <f t="shared" ref="AF84:AF86" si="132">AF85</f>
        <v>0</v>
      </c>
      <c r="AG84" s="235">
        <f t="shared" ref="AG84:AG86" si="133">AG85</f>
        <v>2000</v>
      </c>
      <c r="AH84" s="235">
        <f t="shared" ref="AH84:AH86" si="134">AH85</f>
        <v>0</v>
      </c>
      <c r="AI84" s="235">
        <f t="shared" ref="AI84:AJ86" si="135">AI85</f>
        <v>2000</v>
      </c>
      <c r="AJ84" s="43">
        <f t="shared" si="135"/>
        <v>2000</v>
      </c>
      <c r="AK84" s="235">
        <f t="shared" ref="AK84:AK86" si="136">AK85</f>
        <v>1000</v>
      </c>
      <c r="AL84" s="43">
        <f t="shared" ref="AL84:AL86" si="137">AL85</f>
        <v>1000</v>
      </c>
      <c r="AM84" s="43">
        <f t="shared" ref="AM84:AM86" si="138">AM85</f>
        <v>0</v>
      </c>
      <c r="AN84" s="43">
        <f t="shared" ref="AN84:AN86" si="139">AN85</f>
        <v>1000</v>
      </c>
      <c r="AO84" s="43">
        <f t="shared" ref="AO84:AP86" si="140">AO85</f>
        <v>0</v>
      </c>
      <c r="AP84" s="43"/>
      <c r="AQ84" s="47"/>
      <c r="AR84" s="48">
        <f>AA84-(AF84+AI84+AL84)</f>
        <v>0</v>
      </c>
      <c r="AS84" s="49" t="e">
        <f>#REF!-AL84</f>
        <v>#REF!</v>
      </c>
    </row>
    <row r="85" spans="1:45" s="133" customFormat="1" ht="24" customHeight="1">
      <c r="B85" s="129" t="s">
        <v>118</v>
      </c>
      <c r="C85" s="348" t="s">
        <v>119</v>
      </c>
      <c r="D85" s="439">
        <f t="shared" si="122"/>
        <v>1</v>
      </c>
      <c r="E85" s="69">
        <f t="shared" si="122"/>
        <v>0</v>
      </c>
      <c r="F85" s="69">
        <f t="shared" si="122"/>
        <v>0</v>
      </c>
      <c r="G85" s="69">
        <f t="shared" si="122"/>
        <v>1</v>
      </c>
      <c r="H85" s="69">
        <f t="shared" si="122"/>
        <v>1000</v>
      </c>
      <c r="I85" s="69">
        <f t="shared" si="122"/>
        <v>0</v>
      </c>
      <c r="J85" s="69">
        <f t="shared" si="122"/>
        <v>0</v>
      </c>
      <c r="K85" s="69">
        <f>K87</f>
        <v>0</v>
      </c>
      <c r="L85" s="69">
        <f>L87</f>
        <v>1</v>
      </c>
      <c r="M85" s="69">
        <f>M87</f>
        <v>0</v>
      </c>
      <c r="N85" s="122"/>
      <c r="O85" s="122"/>
      <c r="P85" s="122"/>
      <c r="Q85" s="122"/>
      <c r="R85" s="122"/>
      <c r="S85" s="122"/>
      <c r="T85" s="122"/>
      <c r="U85" s="122"/>
      <c r="V85" s="122"/>
      <c r="W85" s="69">
        <f>W86</f>
        <v>7924.2830000000004</v>
      </c>
      <c r="X85" s="69">
        <f t="shared" si="124"/>
        <v>0</v>
      </c>
      <c r="Y85" s="69">
        <f t="shared" si="125"/>
        <v>7924.2830000000004</v>
      </c>
      <c r="Z85" s="69">
        <f t="shared" si="126"/>
        <v>0</v>
      </c>
      <c r="AA85" s="69">
        <f t="shared" si="127"/>
        <v>3000</v>
      </c>
      <c r="AB85" s="236">
        <f t="shared" si="128"/>
        <v>0</v>
      </c>
      <c r="AC85" s="236">
        <f t="shared" si="129"/>
        <v>3000</v>
      </c>
      <c r="AD85" s="236">
        <f t="shared" si="130"/>
        <v>0</v>
      </c>
      <c r="AE85" s="236">
        <f t="shared" si="131"/>
        <v>0</v>
      </c>
      <c r="AF85" s="236">
        <f t="shared" si="132"/>
        <v>0</v>
      </c>
      <c r="AG85" s="236">
        <f t="shared" si="133"/>
        <v>2000</v>
      </c>
      <c r="AH85" s="236">
        <f t="shared" si="134"/>
        <v>0</v>
      </c>
      <c r="AI85" s="236">
        <f t="shared" si="135"/>
        <v>2000</v>
      </c>
      <c r="AJ85" s="69">
        <f t="shared" si="135"/>
        <v>2000</v>
      </c>
      <c r="AK85" s="236">
        <f t="shared" si="136"/>
        <v>1000</v>
      </c>
      <c r="AL85" s="69">
        <f t="shared" si="137"/>
        <v>1000</v>
      </c>
      <c r="AM85" s="69">
        <f t="shared" si="138"/>
        <v>0</v>
      </c>
      <c r="AN85" s="69">
        <f t="shared" si="139"/>
        <v>1000</v>
      </c>
      <c r="AO85" s="69">
        <f t="shared" si="140"/>
        <v>0</v>
      </c>
      <c r="AP85" s="69">
        <f t="shared" si="140"/>
        <v>0</v>
      </c>
      <c r="AQ85" s="130"/>
      <c r="AR85" s="131">
        <f>AA85-(AF85+AI85+AL85)</f>
        <v>0</v>
      </c>
      <c r="AS85" s="132" t="e">
        <f>#REF!-AL85</f>
        <v>#REF!</v>
      </c>
    </row>
    <row r="86" spans="1:45" s="133" customFormat="1" ht="32.450000000000003" customHeight="1">
      <c r="B86" s="129"/>
      <c r="C86" s="346" t="s">
        <v>957</v>
      </c>
      <c r="D86" s="439">
        <f t="shared" si="122"/>
        <v>1</v>
      </c>
      <c r="E86" s="69">
        <f t="shared" si="122"/>
        <v>0</v>
      </c>
      <c r="F86" s="69">
        <f t="shared" si="122"/>
        <v>0</v>
      </c>
      <c r="G86" s="69">
        <f t="shared" si="122"/>
        <v>1</v>
      </c>
      <c r="H86" s="69">
        <f t="shared" si="122"/>
        <v>1000</v>
      </c>
      <c r="I86" s="69">
        <f t="shared" si="122"/>
        <v>0</v>
      </c>
      <c r="J86" s="69">
        <f t="shared" si="122"/>
        <v>0</v>
      </c>
      <c r="K86" s="69"/>
      <c r="L86" s="69"/>
      <c r="M86" s="69"/>
      <c r="N86" s="122"/>
      <c r="O86" s="122"/>
      <c r="P86" s="122"/>
      <c r="Q86" s="122"/>
      <c r="R86" s="122"/>
      <c r="S86" s="122"/>
      <c r="T86" s="122"/>
      <c r="U86" s="122"/>
      <c r="V86" s="122"/>
      <c r="W86" s="69">
        <f>W87</f>
        <v>7924.2830000000004</v>
      </c>
      <c r="X86" s="69">
        <f t="shared" si="124"/>
        <v>0</v>
      </c>
      <c r="Y86" s="69">
        <f t="shared" si="125"/>
        <v>7924.2830000000004</v>
      </c>
      <c r="Z86" s="69">
        <f t="shared" si="126"/>
        <v>0</v>
      </c>
      <c r="AA86" s="69">
        <f t="shared" si="127"/>
        <v>3000</v>
      </c>
      <c r="AB86" s="236">
        <f t="shared" si="128"/>
        <v>0</v>
      </c>
      <c r="AC86" s="236">
        <f t="shared" si="129"/>
        <v>3000</v>
      </c>
      <c r="AD86" s="236">
        <f t="shared" si="130"/>
        <v>0</v>
      </c>
      <c r="AE86" s="236">
        <f t="shared" si="131"/>
        <v>0</v>
      </c>
      <c r="AF86" s="236">
        <f t="shared" si="132"/>
        <v>0</v>
      </c>
      <c r="AG86" s="236">
        <f t="shared" si="133"/>
        <v>2000</v>
      </c>
      <c r="AH86" s="236">
        <f t="shared" si="134"/>
        <v>0</v>
      </c>
      <c r="AI86" s="236">
        <f t="shared" si="135"/>
        <v>2000</v>
      </c>
      <c r="AJ86" s="69">
        <f t="shared" si="135"/>
        <v>2000</v>
      </c>
      <c r="AK86" s="236">
        <f t="shared" si="136"/>
        <v>1000</v>
      </c>
      <c r="AL86" s="69">
        <f t="shared" si="137"/>
        <v>1000</v>
      </c>
      <c r="AM86" s="69">
        <f t="shared" si="138"/>
        <v>0</v>
      </c>
      <c r="AN86" s="69">
        <f t="shared" si="139"/>
        <v>1000</v>
      </c>
      <c r="AO86" s="69">
        <f t="shared" si="140"/>
        <v>0</v>
      </c>
      <c r="AP86" s="69">
        <f t="shared" si="140"/>
        <v>0</v>
      </c>
      <c r="AQ86" s="130"/>
      <c r="AR86" s="131"/>
      <c r="AS86" s="132"/>
    </row>
    <row r="87" spans="1:45" s="50" customFormat="1" ht="73.5" customHeight="1">
      <c r="A87" s="50" t="s">
        <v>749</v>
      </c>
      <c r="B87" s="237">
        <v>1</v>
      </c>
      <c r="C87" s="248" t="s">
        <v>850</v>
      </c>
      <c r="D87" s="93">
        <v>1</v>
      </c>
      <c r="E87" s="47"/>
      <c r="F87" s="47"/>
      <c r="G87" s="47">
        <v>1</v>
      </c>
      <c r="H87" s="47">
        <f>G87*AL87</f>
        <v>1000</v>
      </c>
      <c r="I87" s="47"/>
      <c r="J87" s="47"/>
      <c r="K87" s="47"/>
      <c r="L87" s="47">
        <v>1</v>
      </c>
      <c r="M87" s="88"/>
      <c r="N87" s="41" t="s">
        <v>141</v>
      </c>
      <c r="O87" s="41" t="s">
        <v>428</v>
      </c>
      <c r="P87" s="41" t="s">
        <v>429</v>
      </c>
      <c r="Q87" s="41" t="s">
        <v>430</v>
      </c>
      <c r="R87" s="41"/>
      <c r="S87" s="41"/>
      <c r="T87" s="41" t="s">
        <v>114</v>
      </c>
      <c r="U87" s="39"/>
      <c r="V87" s="97" t="s">
        <v>640</v>
      </c>
      <c r="W87" s="98">
        <v>7924.2830000000004</v>
      </c>
      <c r="X87" s="120"/>
      <c r="Y87" s="98">
        <v>7924.2830000000004</v>
      </c>
      <c r="Z87" s="235"/>
      <c r="AA87" s="47">
        <f>AB87+AC87+AD87+AE87</f>
        <v>3000</v>
      </c>
      <c r="AB87" s="235"/>
      <c r="AC87" s="414">
        <v>3000</v>
      </c>
      <c r="AD87" s="235"/>
      <c r="AE87" s="235"/>
      <c r="AF87" s="235"/>
      <c r="AG87" s="120">
        <v>2000</v>
      </c>
      <c r="AH87" s="235"/>
      <c r="AI87" s="120">
        <v>2000</v>
      </c>
      <c r="AJ87" s="47">
        <f>AF87+AI87</f>
        <v>2000</v>
      </c>
      <c r="AK87" s="120">
        <v>1000</v>
      </c>
      <c r="AL87" s="47">
        <v>1000</v>
      </c>
      <c r="AM87" s="43"/>
      <c r="AN87" s="47">
        <v>1000</v>
      </c>
      <c r="AO87" s="43"/>
      <c r="AP87" s="43"/>
      <c r="AQ87" s="47"/>
      <c r="AR87" s="48">
        <f>AA87-(AF87+AI87+AL87)</f>
        <v>0</v>
      </c>
      <c r="AS87" s="49" t="e">
        <f>#REF!-AL87</f>
        <v>#REF!</v>
      </c>
    </row>
    <row r="88" spans="1:45" s="50" customFormat="1" ht="35.450000000000003" customHeight="1">
      <c r="B88" s="36" t="s">
        <v>135</v>
      </c>
      <c r="C88" s="340" t="s">
        <v>120</v>
      </c>
      <c r="D88" s="247">
        <f t="shared" ref="D88:J88" si="141">D89</f>
        <v>5</v>
      </c>
      <c r="E88" s="43">
        <f t="shared" si="141"/>
        <v>5</v>
      </c>
      <c r="F88" s="43">
        <f t="shared" si="141"/>
        <v>15000</v>
      </c>
      <c r="G88" s="43">
        <f t="shared" si="141"/>
        <v>0</v>
      </c>
      <c r="H88" s="43">
        <f t="shared" si="141"/>
        <v>0</v>
      </c>
      <c r="I88" s="43">
        <f t="shared" si="141"/>
        <v>0</v>
      </c>
      <c r="J88" s="43">
        <f t="shared" si="141"/>
        <v>0</v>
      </c>
      <c r="K88" s="43">
        <f t="shared" ref="K88:M88" si="142">K89</f>
        <v>0</v>
      </c>
      <c r="L88" s="43">
        <f t="shared" si="142"/>
        <v>5</v>
      </c>
      <c r="M88" s="43">
        <f t="shared" si="142"/>
        <v>0</v>
      </c>
      <c r="N88" s="39"/>
      <c r="O88" s="39"/>
      <c r="P88" s="39"/>
      <c r="Q88" s="39"/>
      <c r="R88" s="39"/>
      <c r="S88" s="39"/>
      <c r="T88" s="39"/>
      <c r="U88" s="39"/>
      <c r="V88" s="39"/>
      <c r="W88" s="43">
        <f t="shared" ref="W88:AP88" si="143">W89</f>
        <v>41549</v>
      </c>
      <c r="X88" s="43">
        <f t="shared" si="143"/>
        <v>0</v>
      </c>
      <c r="Y88" s="43">
        <f t="shared" si="143"/>
        <v>15000</v>
      </c>
      <c r="Z88" s="43">
        <f t="shared" si="143"/>
        <v>0</v>
      </c>
      <c r="AA88" s="43">
        <f t="shared" si="143"/>
        <v>15000</v>
      </c>
      <c r="AB88" s="235">
        <f t="shared" si="143"/>
        <v>0</v>
      </c>
      <c r="AC88" s="235">
        <f t="shared" si="143"/>
        <v>15000</v>
      </c>
      <c r="AD88" s="235">
        <f t="shared" si="143"/>
        <v>0</v>
      </c>
      <c r="AE88" s="235">
        <f t="shared" si="143"/>
        <v>0</v>
      </c>
      <c r="AF88" s="235">
        <f t="shared" si="143"/>
        <v>0</v>
      </c>
      <c r="AG88" s="235">
        <f t="shared" si="143"/>
        <v>0</v>
      </c>
      <c r="AH88" s="235">
        <f t="shared" si="143"/>
        <v>0</v>
      </c>
      <c r="AI88" s="235">
        <f t="shared" si="143"/>
        <v>0</v>
      </c>
      <c r="AJ88" s="43">
        <f t="shared" si="143"/>
        <v>0</v>
      </c>
      <c r="AK88" s="235">
        <f t="shared" si="143"/>
        <v>15000</v>
      </c>
      <c r="AL88" s="43">
        <f t="shared" si="143"/>
        <v>15000</v>
      </c>
      <c r="AM88" s="43">
        <f t="shared" si="143"/>
        <v>0</v>
      </c>
      <c r="AN88" s="43">
        <f t="shared" si="143"/>
        <v>15000</v>
      </c>
      <c r="AO88" s="43">
        <f t="shared" si="143"/>
        <v>0</v>
      </c>
      <c r="AP88" s="43">
        <f t="shared" si="143"/>
        <v>0</v>
      </c>
      <c r="AQ88" s="47"/>
      <c r="AR88" s="48">
        <f>AA88-(AF88+AI88+AL88)</f>
        <v>0</v>
      </c>
      <c r="AS88" s="49" t="e">
        <f>#REF!-AL88</f>
        <v>#REF!</v>
      </c>
    </row>
    <row r="89" spans="1:45" s="133" customFormat="1" ht="25.5" customHeight="1">
      <c r="B89" s="129" t="s">
        <v>232</v>
      </c>
      <c r="C89" s="348" t="s">
        <v>119</v>
      </c>
      <c r="D89" s="439">
        <f t="shared" ref="D89:J89" si="144">D90+D95</f>
        <v>5</v>
      </c>
      <c r="E89" s="69">
        <f t="shared" si="144"/>
        <v>5</v>
      </c>
      <c r="F89" s="69">
        <f t="shared" si="144"/>
        <v>15000</v>
      </c>
      <c r="G89" s="69">
        <f t="shared" si="144"/>
        <v>0</v>
      </c>
      <c r="H89" s="69">
        <f t="shared" si="144"/>
        <v>0</v>
      </c>
      <c r="I89" s="69">
        <f t="shared" si="144"/>
        <v>0</v>
      </c>
      <c r="J89" s="69">
        <f t="shared" si="144"/>
        <v>0</v>
      </c>
      <c r="K89" s="69">
        <f t="shared" ref="K89:M89" si="145">K91+K92+K93+K94+K96</f>
        <v>0</v>
      </c>
      <c r="L89" s="69">
        <f t="shared" si="145"/>
        <v>5</v>
      </c>
      <c r="M89" s="69">
        <f t="shared" si="145"/>
        <v>0</v>
      </c>
      <c r="N89" s="122"/>
      <c r="O89" s="122"/>
      <c r="P89" s="122"/>
      <c r="Q89" s="122"/>
      <c r="R89" s="122"/>
      <c r="S89" s="122"/>
      <c r="T89" s="122"/>
      <c r="U89" s="122"/>
      <c r="V89" s="122"/>
      <c r="W89" s="69">
        <f t="shared" ref="W89:AJ89" si="146">W90+W95</f>
        <v>41549</v>
      </c>
      <c r="X89" s="69">
        <f t="shared" si="146"/>
        <v>0</v>
      </c>
      <c r="Y89" s="69">
        <f t="shared" si="146"/>
        <v>15000</v>
      </c>
      <c r="Z89" s="69">
        <f t="shared" si="146"/>
        <v>0</v>
      </c>
      <c r="AA89" s="69">
        <f t="shared" si="146"/>
        <v>15000</v>
      </c>
      <c r="AB89" s="236">
        <f t="shared" si="146"/>
        <v>0</v>
      </c>
      <c r="AC89" s="236">
        <f t="shared" si="146"/>
        <v>15000</v>
      </c>
      <c r="AD89" s="236">
        <f t="shared" si="146"/>
        <v>0</v>
      </c>
      <c r="AE89" s="236">
        <f t="shared" si="146"/>
        <v>0</v>
      </c>
      <c r="AF89" s="236">
        <f t="shared" si="146"/>
        <v>0</v>
      </c>
      <c r="AG89" s="236">
        <f t="shared" si="146"/>
        <v>0</v>
      </c>
      <c r="AH89" s="236">
        <f t="shared" si="146"/>
        <v>0</v>
      </c>
      <c r="AI89" s="236">
        <f t="shared" si="146"/>
        <v>0</v>
      </c>
      <c r="AJ89" s="69">
        <f t="shared" si="146"/>
        <v>0</v>
      </c>
      <c r="AK89" s="236">
        <f t="shared" ref="AK89:AP89" si="147">AK90+AK95</f>
        <v>15000</v>
      </c>
      <c r="AL89" s="69">
        <f t="shared" si="147"/>
        <v>15000</v>
      </c>
      <c r="AM89" s="69">
        <f t="shared" si="147"/>
        <v>0</v>
      </c>
      <c r="AN89" s="69">
        <f t="shared" si="147"/>
        <v>15000</v>
      </c>
      <c r="AO89" s="69">
        <f t="shared" si="147"/>
        <v>0</v>
      </c>
      <c r="AP89" s="69">
        <f t="shared" si="147"/>
        <v>0</v>
      </c>
      <c r="AQ89" s="130"/>
      <c r="AR89" s="131">
        <f>AA89-(AF89+AI89+AL89)</f>
        <v>0</v>
      </c>
      <c r="AS89" s="132" t="e">
        <f>#REF!-AL89</f>
        <v>#REF!</v>
      </c>
    </row>
    <row r="90" spans="1:45" s="133" customFormat="1" ht="42" customHeight="1">
      <c r="B90" s="129"/>
      <c r="C90" s="346" t="s">
        <v>954</v>
      </c>
      <c r="D90" s="247">
        <f t="shared" ref="D90:J90" si="148">D91+D92+D93+D94</f>
        <v>4</v>
      </c>
      <c r="E90" s="43">
        <f t="shared" si="148"/>
        <v>4</v>
      </c>
      <c r="F90" s="43">
        <f t="shared" si="148"/>
        <v>12000</v>
      </c>
      <c r="G90" s="43">
        <f t="shared" si="148"/>
        <v>0</v>
      </c>
      <c r="H90" s="43">
        <f t="shared" si="148"/>
        <v>0</v>
      </c>
      <c r="I90" s="43">
        <f t="shared" si="148"/>
        <v>0</v>
      </c>
      <c r="J90" s="43">
        <f t="shared" si="148"/>
        <v>0</v>
      </c>
      <c r="K90" s="69"/>
      <c r="L90" s="69"/>
      <c r="M90" s="69"/>
      <c r="N90" s="122"/>
      <c r="O90" s="122"/>
      <c r="P90" s="122"/>
      <c r="Q90" s="122"/>
      <c r="R90" s="122"/>
      <c r="S90" s="122"/>
      <c r="T90" s="122"/>
      <c r="U90" s="122"/>
      <c r="V90" s="122"/>
      <c r="W90" s="43">
        <f>W91+W92+W93+W94</f>
        <v>31612</v>
      </c>
      <c r="X90" s="236"/>
      <c r="Y90" s="43">
        <f t="shared" ref="Y90:AP90" si="149">Y91+Y92+Y93+Y94</f>
        <v>12000</v>
      </c>
      <c r="Z90" s="43">
        <f t="shared" si="149"/>
        <v>0</v>
      </c>
      <c r="AA90" s="43">
        <f t="shared" si="149"/>
        <v>12000</v>
      </c>
      <c r="AB90" s="235">
        <f t="shared" si="149"/>
        <v>0</v>
      </c>
      <c r="AC90" s="235">
        <f t="shared" si="149"/>
        <v>12000</v>
      </c>
      <c r="AD90" s="235">
        <f t="shared" si="149"/>
        <v>0</v>
      </c>
      <c r="AE90" s="235">
        <f t="shared" si="149"/>
        <v>0</v>
      </c>
      <c r="AF90" s="235">
        <f t="shared" si="149"/>
        <v>0</v>
      </c>
      <c r="AG90" s="235">
        <f t="shared" si="149"/>
        <v>0</v>
      </c>
      <c r="AH90" s="235">
        <f t="shared" si="149"/>
        <v>0</v>
      </c>
      <c r="AI90" s="235">
        <f t="shared" si="149"/>
        <v>0</v>
      </c>
      <c r="AJ90" s="43">
        <f t="shared" si="149"/>
        <v>0</v>
      </c>
      <c r="AK90" s="235">
        <f t="shared" si="149"/>
        <v>12000</v>
      </c>
      <c r="AL90" s="43">
        <f t="shared" si="149"/>
        <v>12000</v>
      </c>
      <c r="AM90" s="43">
        <f t="shared" si="149"/>
        <v>0</v>
      </c>
      <c r="AN90" s="43">
        <f t="shared" si="149"/>
        <v>12000</v>
      </c>
      <c r="AO90" s="43">
        <f t="shared" si="149"/>
        <v>0</v>
      </c>
      <c r="AP90" s="43">
        <f t="shared" si="149"/>
        <v>0</v>
      </c>
      <c r="AQ90" s="130"/>
      <c r="AR90" s="131"/>
      <c r="AS90" s="132"/>
    </row>
    <row r="91" spans="1:45" s="50" customFormat="1" ht="60.95" customHeight="1">
      <c r="A91" s="50" t="s">
        <v>749</v>
      </c>
      <c r="B91" s="237">
        <v>1</v>
      </c>
      <c r="C91" s="345" t="s">
        <v>1051</v>
      </c>
      <c r="D91" s="93">
        <v>1</v>
      </c>
      <c r="E91" s="47">
        <v>1</v>
      </c>
      <c r="F91" s="47">
        <f>E91*AL91</f>
        <v>3000</v>
      </c>
      <c r="G91" s="47"/>
      <c r="H91" s="47"/>
      <c r="I91" s="47"/>
      <c r="J91" s="47"/>
      <c r="K91" s="47"/>
      <c r="L91" s="47">
        <v>1</v>
      </c>
      <c r="M91" s="88"/>
      <c r="N91" s="39" t="s">
        <v>161</v>
      </c>
      <c r="O91" s="39" t="s">
        <v>362</v>
      </c>
      <c r="P91" s="39" t="s">
        <v>363</v>
      </c>
      <c r="Q91" s="99" t="s">
        <v>517</v>
      </c>
      <c r="R91" s="39"/>
      <c r="S91" s="39"/>
      <c r="T91" s="39" t="s">
        <v>114</v>
      </c>
      <c r="U91" s="39" t="s">
        <v>123</v>
      </c>
      <c r="V91" s="39" t="s">
        <v>127</v>
      </c>
      <c r="W91" s="47">
        <v>3875</v>
      </c>
      <c r="X91" s="120"/>
      <c r="Y91" s="47">
        <v>3000</v>
      </c>
      <c r="Z91" s="235"/>
      <c r="AA91" s="47">
        <f>AB91+AC91+AD91+AE91</f>
        <v>3000</v>
      </c>
      <c r="AB91" s="235"/>
      <c r="AC91" s="120">
        <v>3000</v>
      </c>
      <c r="AD91" s="235"/>
      <c r="AE91" s="235"/>
      <c r="AF91" s="235"/>
      <c r="AG91" s="235"/>
      <c r="AH91" s="235"/>
      <c r="AI91" s="235"/>
      <c r="AJ91" s="47">
        <f>AF91+AI91</f>
        <v>0</v>
      </c>
      <c r="AK91" s="120">
        <v>3000</v>
      </c>
      <c r="AL91" s="47">
        <f t="shared" ref="AL91:AL96" si="150">AM91+AN91+AO91</f>
        <v>3000</v>
      </c>
      <c r="AM91" s="43"/>
      <c r="AN91" s="47">
        <v>3000</v>
      </c>
      <c r="AO91" s="43"/>
      <c r="AP91" s="43"/>
      <c r="AQ91" s="47"/>
      <c r="AR91" s="48">
        <f>AA91-(AF91+AI91+AL91)</f>
        <v>0</v>
      </c>
      <c r="AS91" s="49" t="e">
        <f>#REF!-AL91</f>
        <v>#REF!</v>
      </c>
    </row>
    <row r="92" spans="1:45" s="50" customFormat="1" ht="61.5" customHeight="1">
      <c r="A92" s="50" t="s">
        <v>749</v>
      </c>
      <c r="B92" s="237">
        <v>2</v>
      </c>
      <c r="C92" s="345" t="s">
        <v>1052</v>
      </c>
      <c r="D92" s="93">
        <v>1</v>
      </c>
      <c r="E92" s="47">
        <v>1</v>
      </c>
      <c r="F92" s="47">
        <f>E92*AL92</f>
        <v>3000</v>
      </c>
      <c r="G92" s="47"/>
      <c r="H92" s="47"/>
      <c r="I92" s="47"/>
      <c r="J92" s="47"/>
      <c r="K92" s="47"/>
      <c r="L92" s="47">
        <v>1</v>
      </c>
      <c r="M92" s="88"/>
      <c r="N92" s="39" t="s">
        <v>161</v>
      </c>
      <c r="O92" s="39" t="s">
        <v>362</v>
      </c>
      <c r="P92" s="39" t="s">
        <v>363</v>
      </c>
      <c r="Q92" s="99" t="s">
        <v>518</v>
      </c>
      <c r="R92" s="39"/>
      <c r="S92" s="39"/>
      <c r="T92" s="39" t="s">
        <v>114</v>
      </c>
      <c r="U92" s="39" t="s">
        <v>124</v>
      </c>
      <c r="V92" s="39" t="s">
        <v>128</v>
      </c>
      <c r="W92" s="47">
        <v>8423</v>
      </c>
      <c r="X92" s="120"/>
      <c r="Y92" s="47">
        <v>3000</v>
      </c>
      <c r="Z92" s="235"/>
      <c r="AA92" s="47">
        <f t="shared" ref="AA92:AA96" si="151">AB92+AC92+AD92+AE92</f>
        <v>3000</v>
      </c>
      <c r="AB92" s="235"/>
      <c r="AC92" s="120">
        <v>3000</v>
      </c>
      <c r="AD92" s="235"/>
      <c r="AE92" s="235"/>
      <c r="AF92" s="235"/>
      <c r="AG92" s="235"/>
      <c r="AH92" s="235"/>
      <c r="AI92" s="235"/>
      <c r="AJ92" s="47">
        <f>AF92+AI92</f>
        <v>0</v>
      </c>
      <c r="AK92" s="120">
        <v>3000</v>
      </c>
      <c r="AL92" s="47">
        <f t="shared" si="150"/>
        <v>3000</v>
      </c>
      <c r="AM92" s="43"/>
      <c r="AN92" s="47">
        <v>3000</v>
      </c>
      <c r="AO92" s="43"/>
      <c r="AP92" s="43"/>
      <c r="AQ92" s="47"/>
      <c r="AR92" s="48">
        <f>AA92-(AF92+AI92+AL92)</f>
        <v>0</v>
      </c>
      <c r="AS92" s="49" t="e">
        <f>#REF!-AL92</f>
        <v>#REF!</v>
      </c>
    </row>
    <row r="93" spans="1:45" s="50" customFormat="1" ht="59.45" customHeight="1">
      <c r="A93" s="50" t="s">
        <v>749</v>
      </c>
      <c r="B93" s="237">
        <v>3</v>
      </c>
      <c r="C93" s="345" t="s">
        <v>1053</v>
      </c>
      <c r="D93" s="93">
        <v>1</v>
      </c>
      <c r="E93" s="47">
        <v>1</v>
      </c>
      <c r="F93" s="47">
        <f>E93*AL93</f>
        <v>3000</v>
      </c>
      <c r="G93" s="47"/>
      <c r="H93" s="47"/>
      <c r="I93" s="47"/>
      <c r="J93" s="47"/>
      <c r="K93" s="47"/>
      <c r="L93" s="47">
        <v>1</v>
      </c>
      <c r="M93" s="88"/>
      <c r="N93" s="39" t="s">
        <v>161</v>
      </c>
      <c r="O93" s="39" t="s">
        <v>362</v>
      </c>
      <c r="P93" s="39" t="s">
        <v>363</v>
      </c>
      <c r="Q93" s="99" t="s">
        <v>519</v>
      </c>
      <c r="R93" s="39"/>
      <c r="S93" s="39"/>
      <c r="T93" s="39" t="s">
        <v>114</v>
      </c>
      <c r="U93" s="39" t="s">
        <v>125</v>
      </c>
      <c r="V93" s="39" t="s">
        <v>129</v>
      </c>
      <c r="W93" s="47">
        <v>4510</v>
      </c>
      <c r="X93" s="120"/>
      <c r="Y93" s="47">
        <v>3000</v>
      </c>
      <c r="Z93" s="235"/>
      <c r="AA93" s="47">
        <f t="shared" si="151"/>
        <v>3000</v>
      </c>
      <c r="AB93" s="235"/>
      <c r="AC93" s="120">
        <v>3000</v>
      </c>
      <c r="AD93" s="235"/>
      <c r="AE93" s="235"/>
      <c r="AF93" s="235"/>
      <c r="AG93" s="235"/>
      <c r="AH93" s="235"/>
      <c r="AI93" s="235"/>
      <c r="AJ93" s="47">
        <f>AF93+AI93</f>
        <v>0</v>
      </c>
      <c r="AK93" s="120">
        <v>3000</v>
      </c>
      <c r="AL93" s="47">
        <f t="shared" si="150"/>
        <v>3000</v>
      </c>
      <c r="AM93" s="43"/>
      <c r="AN93" s="47">
        <v>3000</v>
      </c>
      <c r="AO93" s="43"/>
      <c r="AP93" s="43"/>
      <c r="AQ93" s="47"/>
      <c r="AR93" s="48">
        <f>AA93-(AF93+AI93+AL93)</f>
        <v>0</v>
      </c>
      <c r="AS93" s="49" t="e">
        <f>#REF!-AL93</f>
        <v>#REF!</v>
      </c>
    </row>
    <row r="94" spans="1:45" s="50" customFormat="1" ht="56.45" customHeight="1">
      <c r="A94" s="50" t="s">
        <v>749</v>
      </c>
      <c r="B94" s="237">
        <v>4</v>
      </c>
      <c r="C94" s="345" t="s">
        <v>1054</v>
      </c>
      <c r="D94" s="93">
        <v>1</v>
      </c>
      <c r="E94" s="47">
        <v>1</v>
      </c>
      <c r="F94" s="47">
        <f>E94*AL94</f>
        <v>3000</v>
      </c>
      <c r="G94" s="47"/>
      <c r="H94" s="47"/>
      <c r="I94" s="47"/>
      <c r="J94" s="47"/>
      <c r="K94" s="47"/>
      <c r="L94" s="47">
        <v>1</v>
      </c>
      <c r="M94" s="88"/>
      <c r="N94" s="39" t="s">
        <v>161</v>
      </c>
      <c r="O94" s="39" t="s">
        <v>362</v>
      </c>
      <c r="P94" s="39" t="s">
        <v>363</v>
      </c>
      <c r="Q94" s="99" t="s">
        <v>635</v>
      </c>
      <c r="R94" s="39"/>
      <c r="S94" s="39"/>
      <c r="T94" s="39" t="s">
        <v>114</v>
      </c>
      <c r="U94" s="39" t="s">
        <v>126</v>
      </c>
      <c r="V94" s="39" t="s">
        <v>130</v>
      </c>
      <c r="W94" s="47">
        <v>14804</v>
      </c>
      <c r="X94" s="47"/>
      <c r="Y94" s="47">
        <v>3000</v>
      </c>
      <c r="Z94" s="43"/>
      <c r="AA94" s="47">
        <f t="shared" si="151"/>
        <v>3000</v>
      </c>
      <c r="AB94" s="235"/>
      <c r="AC94" s="120">
        <v>3000</v>
      </c>
      <c r="AD94" s="235"/>
      <c r="AE94" s="235"/>
      <c r="AF94" s="235"/>
      <c r="AG94" s="235"/>
      <c r="AH94" s="235"/>
      <c r="AI94" s="235"/>
      <c r="AJ94" s="47">
        <f>AF94+AI94</f>
        <v>0</v>
      </c>
      <c r="AK94" s="120">
        <v>3000</v>
      </c>
      <c r="AL94" s="47">
        <f t="shared" si="150"/>
        <v>3000</v>
      </c>
      <c r="AM94" s="43"/>
      <c r="AN94" s="47">
        <v>3000</v>
      </c>
      <c r="AO94" s="43"/>
      <c r="AP94" s="43"/>
      <c r="AQ94" s="47"/>
      <c r="AR94" s="48">
        <f>AA94-(AF94+AI94+AL94)</f>
        <v>0</v>
      </c>
      <c r="AS94" s="49" t="e">
        <f>#REF!-AL94</f>
        <v>#REF!</v>
      </c>
    </row>
    <row r="95" spans="1:45" s="50" customFormat="1" ht="37.5" customHeight="1">
      <c r="B95" s="237"/>
      <c r="C95" s="346" t="s">
        <v>956</v>
      </c>
      <c r="D95" s="247">
        <f t="shared" ref="D95:J95" si="152">D96</f>
        <v>1</v>
      </c>
      <c r="E95" s="43">
        <f t="shared" si="152"/>
        <v>1</v>
      </c>
      <c r="F95" s="43">
        <f t="shared" si="152"/>
        <v>3000</v>
      </c>
      <c r="G95" s="43">
        <f t="shared" si="152"/>
        <v>0</v>
      </c>
      <c r="H95" s="43">
        <f t="shared" si="152"/>
        <v>0</v>
      </c>
      <c r="I95" s="43">
        <f t="shared" si="152"/>
        <v>0</v>
      </c>
      <c r="J95" s="43">
        <f t="shared" si="152"/>
        <v>0</v>
      </c>
      <c r="K95" s="47"/>
      <c r="L95" s="47"/>
      <c r="M95" s="88"/>
      <c r="N95" s="39"/>
      <c r="O95" s="39"/>
      <c r="P95" s="39"/>
      <c r="Q95" s="99"/>
      <c r="R95" s="39"/>
      <c r="S95" s="39"/>
      <c r="T95" s="39"/>
      <c r="U95" s="39"/>
      <c r="V95" s="39"/>
      <c r="W95" s="43">
        <f>W96</f>
        <v>9937</v>
      </c>
      <c r="X95" s="47"/>
      <c r="Y95" s="43">
        <f t="shared" ref="Y95:AP95" si="153">Y96</f>
        <v>3000</v>
      </c>
      <c r="Z95" s="43">
        <f t="shared" si="153"/>
        <v>0</v>
      </c>
      <c r="AA95" s="43">
        <f t="shared" si="153"/>
        <v>3000</v>
      </c>
      <c r="AB95" s="235">
        <f t="shared" si="153"/>
        <v>0</v>
      </c>
      <c r="AC95" s="235">
        <f t="shared" si="153"/>
        <v>3000</v>
      </c>
      <c r="AD95" s="235">
        <f t="shared" si="153"/>
        <v>0</v>
      </c>
      <c r="AE95" s="235">
        <f t="shared" si="153"/>
        <v>0</v>
      </c>
      <c r="AF95" s="235">
        <f t="shared" si="153"/>
        <v>0</v>
      </c>
      <c r="AG95" s="235">
        <f t="shared" si="153"/>
        <v>0</v>
      </c>
      <c r="AH95" s="235">
        <f t="shared" si="153"/>
        <v>0</v>
      </c>
      <c r="AI95" s="235">
        <f t="shared" si="153"/>
        <v>0</v>
      </c>
      <c r="AJ95" s="43">
        <f t="shared" si="153"/>
        <v>0</v>
      </c>
      <c r="AK95" s="235">
        <f t="shared" si="153"/>
        <v>3000</v>
      </c>
      <c r="AL95" s="43">
        <f t="shared" si="153"/>
        <v>3000</v>
      </c>
      <c r="AM95" s="43">
        <f t="shared" si="153"/>
        <v>0</v>
      </c>
      <c r="AN95" s="43">
        <f t="shared" si="153"/>
        <v>3000</v>
      </c>
      <c r="AO95" s="43">
        <f t="shared" si="153"/>
        <v>0</v>
      </c>
      <c r="AP95" s="43">
        <f t="shared" si="153"/>
        <v>0</v>
      </c>
      <c r="AQ95" s="47"/>
      <c r="AR95" s="48"/>
      <c r="AS95" s="49"/>
    </row>
    <row r="96" spans="1:45" s="50" customFormat="1" ht="62.1" customHeight="1">
      <c r="A96" s="50" t="s">
        <v>749</v>
      </c>
      <c r="B96" s="237">
        <v>1</v>
      </c>
      <c r="C96" s="102" t="s">
        <v>1055</v>
      </c>
      <c r="D96" s="93">
        <v>1</v>
      </c>
      <c r="E96" s="47">
        <v>1</v>
      </c>
      <c r="F96" s="47">
        <f>E96*AL96</f>
        <v>3000</v>
      </c>
      <c r="G96" s="47"/>
      <c r="H96" s="47"/>
      <c r="I96" s="47"/>
      <c r="J96" s="47"/>
      <c r="K96" s="47"/>
      <c r="L96" s="47">
        <v>1</v>
      </c>
      <c r="M96" s="88"/>
      <c r="N96" s="39" t="s">
        <v>276</v>
      </c>
      <c r="O96" s="39" t="s">
        <v>294</v>
      </c>
      <c r="P96" s="39" t="s">
        <v>274</v>
      </c>
      <c r="Q96" s="39" t="s">
        <v>637</v>
      </c>
      <c r="R96" s="39"/>
      <c r="S96" s="39"/>
      <c r="T96" s="90" t="s">
        <v>115</v>
      </c>
      <c r="U96" s="39"/>
      <c r="V96" s="39" t="s">
        <v>636</v>
      </c>
      <c r="W96" s="62">
        <v>9937</v>
      </c>
      <c r="X96" s="120"/>
      <c r="Y96" s="47">
        <v>3000</v>
      </c>
      <c r="Z96" s="235"/>
      <c r="AA96" s="47">
        <f t="shared" si="151"/>
        <v>3000</v>
      </c>
      <c r="AB96" s="235"/>
      <c r="AC96" s="120">
        <v>3000</v>
      </c>
      <c r="AD96" s="235"/>
      <c r="AE96" s="235"/>
      <c r="AF96" s="235"/>
      <c r="AG96" s="235"/>
      <c r="AH96" s="235"/>
      <c r="AI96" s="235"/>
      <c r="AJ96" s="43"/>
      <c r="AK96" s="120">
        <v>3000</v>
      </c>
      <c r="AL96" s="47">
        <f t="shared" si="150"/>
        <v>3000</v>
      </c>
      <c r="AM96" s="43"/>
      <c r="AN96" s="47">
        <v>3000</v>
      </c>
      <c r="AO96" s="43"/>
      <c r="AP96" s="43"/>
      <c r="AQ96" s="249"/>
      <c r="AR96" s="48">
        <v>-3000</v>
      </c>
      <c r="AS96" s="49"/>
    </row>
    <row r="97" spans="2:45" s="50" customFormat="1" ht="69.75" customHeight="1">
      <c r="B97" s="36" t="s">
        <v>51</v>
      </c>
      <c r="C97" s="349" t="s">
        <v>186</v>
      </c>
      <c r="D97" s="247">
        <f t="shared" ref="D97:J97" si="154">D98+D131</f>
        <v>93</v>
      </c>
      <c r="E97" s="43">
        <f t="shared" si="154"/>
        <v>0</v>
      </c>
      <c r="F97" s="43">
        <f t="shared" si="154"/>
        <v>0</v>
      </c>
      <c r="G97" s="43">
        <f t="shared" si="154"/>
        <v>26</v>
      </c>
      <c r="H97" s="43">
        <f t="shared" si="154"/>
        <v>62740</v>
      </c>
      <c r="I97" s="43">
        <f t="shared" si="154"/>
        <v>67</v>
      </c>
      <c r="J97" s="43">
        <f t="shared" si="154"/>
        <v>366100</v>
      </c>
      <c r="K97" s="43" t="e">
        <f>K98+K131+#REF!</f>
        <v>#REF!</v>
      </c>
      <c r="L97" s="43" t="e">
        <f>L98+L131+#REF!</f>
        <v>#REF!</v>
      </c>
      <c r="M97" s="246" t="e">
        <f>M98+M131+#REF!</f>
        <v>#REF!</v>
      </c>
      <c r="N97" s="39"/>
      <c r="O97" s="39"/>
      <c r="P97" s="39"/>
      <c r="Q97" s="39"/>
      <c r="R97" s="39"/>
      <c r="S97" s="39"/>
      <c r="T97" s="39"/>
      <c r="U97" s="39"/>
      <c r="V97" s="39"/>
      <c r="W97" s="43">
        <v>3617676</v>
      </c>
      <c r="X97" s="235" t="e">
        <f>X98+X131+#REF!</f>
        <v>#REF!</v>
      </c>
      <c r="Y97" s="43">
        <v>2217365</v>
      </c>
      <c r="Z97" s="235" t="e">
        <f>Z98+Z131+#REF!</f>
        <v>#REF!</v>
      </c>
      <c r="AA97" s="43">
        <v>2217365</v>
      </c>
      <c r="AB97" s="235" t="e">
        <f>AB98+AB131+#REF!</f>
        <v>#REF!</v>
      </c>
      <c r="AC97" s="235" t="e">
        <f>AC98+AC131+#REF!</f>
        <v>#REF!</v>
      </c>
      <c r="AD97" s="235" t="e">
        <f>AD98+AD131+#REF!</f>
        <v>#REF!</v>
      </c>
      <c r="AE97" s="235" t="e">
        <f>AE98+AE131+#REF!</f>
        <v>#REF!</v>
      </c>
      <c r="AF97" s="235">
        <v>492388.96899999998</v>
      </c>
      <c r="AG97" s="235" t="e">
        <f>AG98+AG131+#REF!</f>
        <v>#REF!</v>
      </c>
      <c r="AH97" s="235" t="e">
        <f>AH98+AH131+#REF!</f>
        <v>#REF!</v>
      </c>
      <c r="AI97" s="235">
        <v>531989</v>
      </c>
      <c r="AJ97" s="43">
        <v>1024377.969</v>
      </c>
      <c r="AK97" s="235">
        <v>897845</v>
      </c>
      <c r="AL97" s="43">
        <f>AL98+AL131</f>
        <v>428840</v>
      </c>
      <c r="AM97" s="43">
        <f>AM98+AM131</f>
        <v>0</v>
      </c>
      <c r="AN97" s="43">
        <f>AN98+AN131</f>
        <v>428840</v>
      </c>
      <c r="AO97" s="43">
        <f>AO98+AO131</f>
        <v>0</v>
      </c>
      <c r="AP97" s="43">
        <f>AP98+AP131</f>
        <v>0</v>
      </c>
      <c r="AQ97" s="47"/>
      <c r="AR97" s="48">
        <f t="shared" ref="AR97:AR122" si="155">AA97-(AF97+AI97+AL97)</f>
        <v>764147.03099999996</v>
      </c>
      <c r="AS97" s="49" t="e">
        <f>#REF!-AL97</f>
        <v>#REF!</v>
      </c>
    </row>
    <row r="98" spans="2:45" s="72" customFormat="1" ht="41.45" customHeight="1">
      <c r="B98" s="36" t="s">
        <v>121</v>
      </c>
      <c r="C98" s="346" t="s">
        <v>175</v>
      </c>
      <c r="D98" s="247">
        <f t="shared" ref="D98:J98" si="156">D99</f>
        <v>26</v>
      </c>
      <c r="E98" s="43">
        <f t="shared" si="156"/>
        <v>0</v>
      </c>
      <c r="F98" s="43">
        <f t="shared" si="156"/>
        <v>0</v>
      </c>
      <c r="G98" s="43">
        <f t="shared" si="156"/>
        <v>26</v>
      </c>
      <c r="H98" s="43">
        <f t="shared" si="156"/>
        <v>62740</v>
      </c>
      <c r="I98" s="43">
        <f t="shared" si="156"/>
        <v>0</v>
      </c>
      <c r="J98" s="43">
        <f t="shared" si="156"/>
        <v>0</v>
      </c>
      <c r="K98" s="43" t="e">
        <f t="shared" ref="K98:AP98" si="157">K99</f>
        <v>#REF!</v>
      </c>
      <c r="L98" s="43" t="e">
        <f t="shared" si="157"/>
        <v>#REF!</v>
      </c>
      <c r="M98" s="246" t="e">
        <f t="shared" si="157"/>
        <v>#REF!</v>
      </c>
      <c r="N98" s="91"/>
      <c r="O98" s="91"/>
      <c r="P98" s="91"/>
      <c r="Q98" s="91"/>
      <c r="R98" s="91"/>
      <c r="S98" s="91"/>
      <c r="T98" s="91"/>
      <c r="U98" s="91"/>
      <c r="V98" s="91"/>
      <c r="W98" s="43">
        <f t="shared" si="157"/>
        <v>449134</v>
      </c>
      <c r="X98" s="235">
        <f t="shared" si="157"/>
        <v>0</v>
      </c>
      <c r="Y98" s="43">
        <f t="shared" si="157"/>
        <v>427382</v>
      </c>
      <c r="Z98" s="43">
        <f t="shared" si="157"/>
        <v>0</v>
      </c>
      <c r="AA98" s="43">
        <f t="shared" si="157"/>
        <v>344225</v>
      </c>
      <c r="AB98" s="235">
        <f t="shared" si="157"/>
        <v>0</v>
      </c>
      <c r="AC98" s="235">
        <f t="shared" si="157"/>
        <v>376963.6</v>
      </c>
      <c r="AD98" s="235">
        <f t="shared" si="157"/>
        <v>0</v>
      </c>
      <c r="AE98" s="235">
        <f t="shared" si="157"/>
        <v>0</v>
      </c>
      <c r="AF98" s="235">
        <f t="shared" si="157"/>
        <v>138064.25200000001</v>
      </c>
      <c r="AG98" s="235">
        <f t="shared" si="157"/>
        <v>100740</v>
      </c>
      <c r="AH98" s="235">
        <f t="shared" si="157"/>
        <v>30347.131000000001</v>
      </c>
      <c r="AI98" s="235">
        <f t="shared" si="157"/>
        <v>120754</v>
      </c>
      <c r="AJ98" s="43">
        <f t="shared" si="157"/>
        <v>258818.25199999998</v>
      </c>
      <c r="AK98" s="235">
        <f t="shared" si="157"/>
        <v>136396</v>
      </c>
      <c r="AL98" s="43">
        <f t="shared" si="157"/>
        <v>62740</v>
      </c>
      <c r="AM98" s="43">
        <f t="shared" si="157"/>
        <v>0</v>
      </c>
      <c r="AN98" s="43">
        <f t="shared" si="157"/>
        <v>62740</v>
      </c>
      <c r="AO98" s="43">
        <f t="shared" si="157"/>
        <v>0</v>
      </c>
      <c r="AP98" s="43">
        <f t="shared" si="157"/>
        <v>0</v>
      </c>
      <c r="AQ98" s="43"/>
      <c r="AR98" s="48">
        <f t="shared" si="155"/>
        <v>22666.748000000021</v>
      </c>
      <c r="AS98" s="49" t="e">
        <f>#REF!-AL98</f>
        <v>#REF!</v>
      </c>
    </row>
    <row r="99" spans="2:45" s="244" customFormat="1" ht="26.45" customHeight="1">
      <c r="B99" s="129" t="s">
        <v>187</v>
      </c>
      <c r="C99" s="352" t="s">
        <v>119</v>
      </c>
      <c r="D99" s="439">
        <f t="shared" ref="D99:J99" si="158">D100+D106+D109+D120+D124</f>
        <v>26</v>
      </c>
      <c r="E99" s="69">
        <f t="shared" si="158"/>
        <v>0</v>
      </c>
      <c r="F99" s="69">
        <f t="shared" si="158"/>
        <v>0</v>
      </c>
      <c r="G99" s="69">
        <f t="shared" si="158"/>
        <v>26</v>
      </c>
      <c r="H99" s="69">
        <f t="shared" si="158"/>
        <v>62740</v>
      </c>
      <c r="I99" s="69">
        <f t="shared" si="158"/>
        <v>0</v>
      </c>
      <c r="J99" s="69">
        <f t="shared" si="158"/>
        <v>0</v>
      </c>
      <c r="K99" s="69" t="e">
        <f>K141+K100+K106+K109+#REF!+#REF!+K120+K124</f>
        <v>#REF!</v>
      </c>
      <c r="L99" s="69" t="e">
        <f>L141+L100+L106+L109+#REF!+#REF!+L120+L124</f>
        <v>#REF!</v>
      </c>
      <c r="M99" s="273" t="e">
        <f>M141+M100+M106+M109+#REF!+#REF!+M120+M124</f>
        <v>#REF!</v>
      </c>
      <c r="N99" s="245"/>
      <c r="O99" s="245"/>
      <c r="P99" s="245"/>
      <c r="Q99" s="245"/>
      <c r="R99" s="245"/>
      <c r="S99" s="245"/>
      <c r="T99" s="245"/>
      <c r="U99" s="245"/>
      <c r="V99" s="245"/>
      <c r="W99" s="69">
        <f t="shared" ref="W99:AP99" si="159">W100+W106+W109+W120+W124</f>
        <v>449134</v>
      </c>
      <c r="X99" s="69">
        <f t="shared" si="159"/>
        <v>0</v>
      </c>
      <c r="Y99" s="69">
        <f t="shared" si="159"/>
        <v>427382</v>
      </c>
      <c r="Z99" s="69">
        <f t="shared" si="159"/>
        <v>0</v>
      </c>
      <c r="AA99" s="69">
        <f t="shared" si="159"/>
        <v>344225</v>
      </c>
      <c r="AB99" s="236">
        <f t="shared" si="159"/>
        <v>0</v>
      </c>
      <c r="AC99" s="236">
        <f t="shared" si="159"/>
        <v>376963.6</v>
      </c>
      <c r="AD99" s="236">
        <f t="shared" si="159"/>
        <v>0</v>
      </c>
      <c r="AE99" s="236">
        <f t="shared" si="159"/>
        <v>0</v>
      </c>
      <c r="AF99" s="236">
        <f t="shared" si="159"/>
        <v>138064.25200000001</v>
      </c>
      <c r="AG99" s="236">
        <f t="shared" si="159"/>
        <v>100740</v>
      </c>
      <c r="AH99" s="236">
        <f t="shared" si="159"/>
        <v>30347.131000000001</v>
      </c>
      <c r="AI99" s="236">
        <f t="shared" si="159"/>
        <v>120754</v>
      </c>
      <c r="AJ99" s="69">
        <f t="shared" si="159"/>
        <v>258818.25199999998</v>
      </c>
      <c r="AK99" s="236">
        <f t="shared" si="159"/>
        <v>136396</v>
      </c>
      <c r="AL99" s="69">
        <f t="shared" si="159"/>
        <v>62740</v>
      </c>
      <c r="AM99" s="69">
        <f t="shared" si="159"/>
        <v>0</v>
      </c>
      <c r="AN99" s="69">
        <f t="shared" si="159"/>
        <v>62740</v>
      </c>
      <c r="AO99" s="69">
        <f t="shared" si="159"/>
        <v>0</v>
      </c>
      <c r="AP99" s="69">
        <f t="shared" si="159"/>
        <v>0</v>
      </c>
      <c r="AQ99" s="69"/>
      <c r="AR99" s="131">
        <f t="shared" si="155"/>
        <v>22666.748000000021</v>
      </c>
      <c r="AS99" s="132" t="e">
        <f>#REF!-AL99</f>
        <v>#REF!</v>
      </c>
    </row>
    <row r="100" spans="2:45" s="72" customFormat="1" ht="24" customHeight="1">
      <c r="B100" s="36"/>
      <c r="C100" s="346" t="s">
        <v>240</v>
      </c>
      <c r="D100" s="247">
        <f t="shared" ref="D100:J100" si="160">D101+D102+D103+D104+D105</f>
        <v>5</v>
      </c>
      <c r="E100" s="43">
        <f t="shared" si="160"/>
        <v>0</v>
      </c>
      <c r="F100" s="43">
        <f t="shared" si="160"/>
        <v>0</v>
      </c>
      <c r="G100" s="43">
        <f t="shared" si="160"/>
        <v>5</v>
      </c>
      <c r="H100" s="43">
        <f t="shared" si="160"/>
        <v>17800</v>
      </c>
      <c r="I100" s="43">
        <f t="shared" si="160"/>
        <v>0</v>
      </c>
      <c r="J100" s="43">
        <f t="shared" si="160"/>
        <v>0</v>
      </c>
      <c r="K100" s="43">
        <f>SUM(K101:K105)</f>
        <v>0</v>
      </c>
      <c r="L100" s="43">
        <f>SUM(L101:L105)</f>
        <v>5</v>
      </c>
      <c r="M100" s="246">
        <f>SUM(M101:M105)</f>
        <v>0</v>
      </c>
      <c r="N100" s="80"/>
      <c r="O100" s="80"/>
      <c r="P100" s="80"/>
      <c r="Q100" s="80"/>
      <c r="R100" s="80"/>
      <c r="S100" s="80"/>
      <c r="T100" s="80"/>
      <c r="U100" s="80"/>
      <c r="V100" s="80"/>
      <c r="W100" s="43">
        <f>W101+W102+W103+W104+W105</f>
        <v>117433</v>
      </c>
      <c r="X100" s="235">
        <f>SUM(X101:X105)</f>
        <v>0</v>
      </c>
      <c r="Y100" s="43">
        <f>SUM(Y101:Y105)</f>
        <v>103439</v>
      </c>
      <c r="Z100" s="235">
        <f>SUM(Z101:Z105)</f>
        <v>0</v>
      </c>
      <c r="AA100" s="43">
        <f t="shared" ref="AA100:AP100" si="161">AA101+AA102+AA103+AA104+AA105</f>
        <v>84700</v>
      </c>
      <c r="AB100" s="235">
        <f t="shared" si="161"/>
        <v>0</v>
      </c>
      <c r="AC100" s="235">
        <f t="shared" si="161"/>
        <v>96819</v>
      </c>
      <c r="AD100" s="235">
        <f t="shared" si="161"/>
        <v>0</v>
      </c>
      <c r="AE100" s="235">
        <f t="shared" si="161"/>
        <v>0</v>
      </c>
      <c r="AF100" s="235">
        <f t="shared" si="161"/>
        <v>45729.593000000001</v>
      </c>
      <c r="AG100" s="235">
        <f t="shared" si="161"/>
        <v>18000</v>
      </c>
      <c r="AH100" s="235">
        <f t="shared" si="161"/>
        <v>2887.4519999999998</v>
      </c>
      <c r="AI100" s="235">
        <f t="shared" si="161"/>
        <v>19145</v>
      </c>
      <c r="AJ100" s="43">
        <f t="shared" si="161"/>
        <v>64874.593000000001</v>
      </c>
      <c r="AK100" s="235">
        <f t="shared" si="161"/>
        <v>33788</v>
      </c>
      <c r="AL100" s="43">
        <f t="shared" si="161"/>
        <v>17800</v>
      </c>
      <c r="AM100" s="43">
        <f t="shared" si="161"/>
        <v>0</v>
      </c>
      <c r="AN100" s="43">
        <f t="shared" si="161"/>
        <v>17800</v>
      </c>
      <c r="AO100" s="43">
        <f t="shared" si="161"/>
        <v>0</v>
      </c>
      <c r="AP100" s="43">
        <f t="shared" si="161"/>
        <v>0</v>
      </c>
      <c r="AQ100" s="43"/>
      <c r="AR100" s="48">
        <f t="shared" si="155"/>
        <v>2025.4070000000065</v>
      </c>
      <c r="AS100" s="49" t="e">
        <f>#REF!-AL100</f>
        <v>#REF!</v>
      </c>
    </row>
    <row r="101" spans="2:45" s="50" customFormat="1" ht="68.25" customHeight="1">
      <c r="B101" s="237">
        <v>1</v>
      </c>
      <c r="C101" s="102" t="s">
        <v>886</v>
      </c>
      <c r="D101" s="159">
        <v>1</v>
      </c>
      <c r="E101" s="47"/>
      <c r="F101" s="47"/>
      <c r="G101" s="47">
        <v>1</v>
      </c>
      <c r="H101" s="47">
        <f>G101*AL101</f>
        <v>1000</v>
      </c>
      <c r="I101" s="47"/>
      <c r="J101" s="47"/>
      <c r="K101" s="47"/>
      <c r="L101" s="119">
        <v>1</v>
      </c>
      <c r="M101" s="88"/>
      <c r="N101" s="39" t="s">
        <v>136</v>
      </c>
      <c r="O101" s="39" t="s">
        <v>241</v>
      </c>
      <c r="P101" s="39" t="s">
        <v>230</v>
      </c>
      <c r="Q101" s="39">
        <v>7851567</v>
      </c>
      <c r="R101" s="80"/>
      <c r="S101" s="39"/>
      <c r="T101" s="39" t="s">
        <v>114</v>
      </c>
      <c r="U101" s="39"/>
      <c r="V101" s="39" t="s">
        <v>887</v>
      </c>
      <c r="W101" s="47">
        <v>14624</v>
      </c>
      <c r="X101" s="120"/>
      <c r="Y101" s="47">
        <v>14600</v>
      </c>
      <c r="Z101" s="235"/>
      <c r="AA101" s="47">
        <v>12700</v>
      </c>
      <c r="AB101" s="235"/>
      <c r="AC101" s="120">
        <v>14600</v>
      </c>
      <c r="AD101" s="235"/>
      <c r="AE101" s="235"/>
      <c r="AF101" s="250">
        <v>7676.6750000000002</v>
      </c>
      <c r="AG101" s="250">
        <v>3000</v>
      </c>
      <c r="AH101" s="221">
        <v>1214.3489999999999</v>
      </c>
      <c r="AI101" s="250">
        <f>2600+1323</f>
        <v>3923</v>
      </c>
      <c r="AJ101" s="47">
        <f t="shared" ref="AJ101:AJ105" si="162">AF101+AI101</f>
        <v>11599.674999999999</v>
      </c>
      <c r="AK101" s="120">
        <v>2600</v>
      </c>
      <c r="AL101" s="47">
        <f t="shared" ref="AL101:AL105" si="163">AM101+AN101+AO101</f>
        <v>1000</v>
      </c>
      <c r="AM101" s="43"/>
      <c r="AN101" s="47">
        <v>1000</v>
      </c>
      <c r="AO101" s="43"/>
      <c r="AP101" s="43"/>
      <c r="AQ101" s="47"/>
      <c r="AR101" s="48">
        <f t="shared" si="155"/>
        <v>100.32500000000073</v>
      </c>
      <c r="AS101" s="49" t="e">
        <f>#REF!-AL101</f>
        <v>#REF!</v>
      </c>
    </row>
    <row r="102" spans="2:45" s="50" customFormat="1" ht="78.95" customHeight="1">
      <c r="B102" s="237">
        <v>2</v>
      </c>
      <c r="C102" s="102" t="s">
        <v>885</v>
      </c>
      <c r="D102" s="159">
        <v>1</v>
      </c>
      <c r="E102" s="47"/>
      <c r="F102" s="47"/>
      <c r="G102" s="119">
        <v>1</v>
      </c>
      <c r="H102" s="47">
        <f>G102*AL102</f>
        <v>5000</v>
      </c>
      <c r="I102" s="47"/>
      <c r="J102" s="47"/>
      <c r="K102" s="47"/>
      <c r="L102" s="119">
        <v>1</v>
      </c>
      <c r="M102" s="88"/>
      <c r="N102" s="39" t="s">
        <v>136</v>
      </c>
      <c r="O102" s="39" t="s">
        <v>241</v>
      </c>
      <c r="P102" s="39" t="s">
        <v>230</v>
      </c>
      <c r="Q102" s="39">
        <v>7805753</v>
      </c>
      <c r="R102" s="80"/>
      <c r="S102" s="39"/>
      <c r="T102" s="39" t="s">
        <v>170</v>
      </c>
      <c r="U102" s="39"/>
      <c r="V102" s="39" t="s">
        <v>831</v>
      </c>
      <c r="W102" s="47">
        <v>33427</v>
      </c>
      <c r="X102" s="120"/>
      <c r="Y102" s="47">
        <v>28000</v>
      </c>
      <c r="Z102" s="235"/>
      <c r="AA102" s="47">
        <v>21500</v>
      </c>
      <c r="AB102" s="235"/>
      <c r="AC102" s="120">
        <f>Y102*0.9</f>
        <v>25200</v>
      </c>
      <c r="AD102" s="235"/>
      <c r="AE102" s="235"/>
      <c r="AF102" s="120">
        <v>10777.68</v>
      </c>
      <c r="AG102" s="120">
        <v>4000</v>
      </c>
      <c r="AH102" s="120">
        <v>600.77300000000002</v>
      </c>
      <c r="AI102" s="120">
        <f>1200+4222</f>
        <v>5422</v>
      </c>
      <c r="AJ102" s="47">
        <f t="shared" si="162"/>
        <v>16199.68</v>
      </c>
      <c r="AK102" s="120">
        <v>9000</v>
      </c>
      <c r="AL102" s="47">
        <f t="shared" si="163"/>
        <v>5000</v>
      </c>
      <c r="AM102" s="43"/>
      <c r="AN102" s="47">
        <v>5000</v>
      </c>
      <c r="AO102" s="43"/>
      <c r="AP102" s="43"/>
      <c r="AQ102" s="47"/>
      <c r="AR102" s="48">
        <f t="shared" si="155"/>
        <v>300.31999999999971</v>
      </c>
      <c r="AS102" s="49" t="e">
        <f>#REF!-AL102</f>
        <v>#REF!</v>
      </c>
    </row>
    <row r="103" spans="2:45" s="50" customFormat="1" ht="83.45" customHeight="1">
      <c r="B103" s="237">
        <v>3</v>
      </c>
      <c r="C103" s="102" t="s">
        <v>889</v>
      </c>
      <c r="D103" s="159">
        <v>1</v>
      </c>
      <c r="E103" s="47"/>
      <c r="F103" s="47"/>
      <c r="G103" s="119">
        <v>1</v>
      </c>
      <c r="H103" s="47">
        <f>G103*AL103</f>
        <v>4000</v>
      </c>
      <c r="I103" s="47"/>
      <c r="J103" s="47"/>
      <c r="K103" s="47"/>
      <c r="L103" s="119">
        <v>1</v>
      </c>
      <c r="M103" s="88"/>
      <c r="N103" s="39" t="s">
        <v>136</v>
      </c>
      <c r="O103" s="39" t="s">
        <v>241</v>
      </c>
      <c r="P103" s="39" t="s">
        <v>230</v>
      </c>
      <c r="Q103" s="101">
        <v>7856558</v>
      </c>
      <c r="R103" s="80"/>
      <c r="S103" s="39"/>
      <c r="T103" s="39" t="s">
        <v>170</v>
      </c>
      <c r="U103" s="39"/>
      <c r="V103" s="39" t="s">
        <v>832</v>
      </c>
      <c r="W103" s="47">
        <v>27881</v>
      </c>
      <c r="X103" s="120"/>
      <c r="Y103" s="47">
        <v>22639</v>
      </c>
      <c r="Z103" s="235"/>
      <c r="AA103" s="47">
        <v>18600</v>
      </c>
      <c r="AB103" s="235"/>
      <c r="AC103" s="120">
        <v>22639</v>
      </c>
      <c r="AD103" s="235"/>
      <c r="AE103" s="235"/>
      <c r="AF103" s="120">
        <v>10212.772000000001</v>
      </c>
      <c r="AG103" s="120">
        <v>5000</v>
      </c>
      <c r="AH103" s="120">
        <v>14.811</v>
      </c>
      <c r="AI103" s="423">
        <f>5000-1200</f>
        <v>3800</v>
      </c>
      <c r="AJ103" s="47">
        <f t="shared" si="162"/>
        <v>14012.772000000001</v>
      </c>
      <c r="AK103" s="120">
        <v>7188</v>
      </c>
      <c r="AL103" s="47">
        <f t="shared" si="163"/>
        <v>4000</v>
      </c>
      <c r="AM103" s="43"/>
      <c r="AN103" s="47">
        <v>4000</v>
      </c>
      <c r="AO103" s="43"/>
      <c r="AP103" s="43"/>
      <c r="AQ103" s="47"/>
      <c r="AR103" s="48">
        <f t="shared" si="155"/>
        <v>587.22799999999916</v>
      </c>
      <c r="AS103" s="49" t="e">
        <f>#REF!-AL103</f>
        <v>#REF!</v>
      </c>
    </row>
    <row r="104" spans="2:45" s="50" customFormat="1" ht="114.75" customHeight="1">
      <c r="B104" s="237">
        <v>4</v>
      </c>
      <c r="C104" s="102" t="s">
        <v>888</v>
      </c>
      <c r="D104" s="159">
        <v>1</v>
      </c>
      <c r="E104" s="47"/>
      <c r="F104" s="47"/>
      <c r="G104" s="119">
        <v>1</v>
      </c>
      <c r="H104" s="47">
        <f>G104*AL104</f>
        <v>3500</v>
      </c>
      <c r="I104" s="47"/>
      <c r="J104" s="47"/>
      <c r="K104" s="47"/>
      <c r="L104" s="119">
        <v>1</v>
      </c>
      <c r="M104" s="88"/>
      <c r="N104" s="39" t="s">
        <v>136</v>
      </c>
      <c r="O104" s="39" t="s">
        <v>241</v>
      </c>
      <c r="P104" s="39" t="s">
        <v>230</v>
      </c>
      <c r="Q104" s="39">
        <v>7806012</v>
      </c>
      <c r="R104" s="80"/>
      <c r="S104" s="39"/>
      <c r="T104" s="39" t="s">
        <v>170</v>
      </c>
      <c r="U104" s="39"/>
      <c r="V104" s="39" t="s">
        <v>833</v>
      </c>
      <c r="W104" s="47">
        <v>24985</v>
      </c>
      <c r="X104" s="120"/>
      <c r="Y104" s="47">
        <v>21700</v>
      </c>
      <c r="Z104" s="235"/>
      <c r="AA104" s="47">
        <v>19500</v>
      </c>
      <c r="AB104" s="235"/>
      <c r="AC104" s="120">
        <f>Y104*0.9</f>
        <v>19530</v>
      </c>
      <c r="AD104" s="235"/>
      <c r="AE104" s="235"/>
      <c r="AF104" s="120">
        <v>10974.775</v>
      </c>
      <c r="AG104" s="120">
        <v>4000</v>
      </c>
      <c r="AH104" s="120">
        <v>846.51900000000001</v>
      </c>
      <c r="AI104" s="120">
        <v>4000</v>
      </c>
      <c r="AJ104" s="47">
        <f t="shared" si="162"/>
        <v>14974.775</v>
      </c>
      <c r="AK104" s="120">
        <v>6700</v>
      </c>
      <c r="AL104" s="47">
        <f t="shared" si="163"/>
        <v>3500</v>
      </c>
      <c r="AM104" s="43"/>
      <c r="AN104" s="47">
        <v>3500</v>
      </c>
      <c r="AO104" s="43"/>
      <c r="AP104" s="43"/>
      <c r="AQ104" s="47"/>
      <c r="AR104" s="48">
        <f t="shared" si="155"/>
        <v>1025.2249999999985</v>
      </c>
      <c r="AS104" s="49" t="e">
        <f>#REF!-AL104</f>
        <v>#REF!</v>
      </c>
    </row>
    <row r="105" spans="2:45" s="50" customFormat="1" ht="79.5" customHeight="1">
      <c r="B105" s="237">
        <v>5</v>
      </c>
      <c r="C105" s="102" t="s">
        <v>243</v>
      </c>
      <c r="D105" s="93">
        <v>1</v>
      </c>
      <c r="E105" s="47"/>
      <c r="F105" s="47"/>
      <c r="G105" s="47">
        <v>1</v>
      </c>
      <c r="H105" s="47">
        <f>G105*AL105</f>
        <v>4300</v>
      </c>
      <c r="I105" s="47"/>
      <c r="J105" s="47"/>
      <c r="K105" s="47"/>
      <c r="L105" s="47">
        <v>1</v>
      </c>
      <c r="M105" s="88"/>
      <c r="N105" s="39" t="s">
        <v>136</v>
      </c>
      <c r="O105" s="39" t="s">
        <v>241</v>
      </c>
      <c r="P105" s="39" t="s">
        <v>230</v>
      </c>
      <c r="Q105" s="39">
        <v>7878579</v>
      </c>
      <c r="R105" s="80"/>
      <c r="S105" s="39"/>
      <c r="T105" s="39" t="s">
        <v>114</v>
      </c>
      <c r="U105" s="39"/>
      <c r="V105" s="39" t="s">
        <v>242</v>
      </c>
      <c r="W105" s="47">
        <v>16516</v>
      </c>
      <c r="X105" s="120"/>
      <c r="Y105" s="47">
        <v>16500</v>
      </c>
      <c r="Z105" s="235"/>
      <c r="AA105" s="47">
        <v>12400</v>
      </c>
      <c r="AB105" s="235"/>
      <c r="AC105" s="120">
        <f>Y105*0.9</f>
        <v>14850</v>
      </c>
      <c r="AD105" s="235"/>
      <c r="AE105" s="235"/>
      <c r="AF105" s="120">
        <v>6087.6909999999998</v>
      </c>
      <c r="AG105" s="250">
        <v>2000</v>
      </c>
      <c r="AH105" s="120">
        <v>211</v>
      </c>
      <c r="AI105" s="250">
        <v>2000</v>
      </c>
      <c r="AJ105" s="47">
        <f t="shared" si="162"/>
        <v>8087.6909999999998</v>
      </c>
      <c r="AK105" s="120">
        <v>8300</v>
      </c>
      <c r="AL105" s="47">
        <f t="shared" si="163"/>
        <v>4300</v>
      </c>
      <c r="AM105" s="43"/>
      <c r="AN105" s="47">
        <f>5500-1200</f>
        <v>4300</v>
      </c>
      <c r="AO105" s="43"/>
      <c r="AP105" s="43"/>
      <c r="AQ105" s="47"/>
      <c r="AR105" s="48">
        <f t="shared" si="155"/>
        <v>12.309000000001106</v>
      </c>
      <c r="AS105" s="49" t="e">
        <f>#REF!-AL105</f>
        <v>#REF!</v>
      </c>
    </row>
    <row r="106" spans="2:45" s="72" customFormat="1" ht="20.100000000000001" customHeight="1">
      <c r="B106" s="36"/>
      <c r="C106" s="346" t="s">
        <v>251</v>
      </c>
      <c r="D106" s="247">
        <f t="shared" ref="D106:J106" si="164">D107+D108</f>
        <v>2</v>
      </c>
      <c r="E106" s="43">
        <f t="shared" si="164"/>
        <v>0</v>
      </c>
      <c r="F106" s="43">
        <f t="shared" si="164"/>
        <v>0</v>
      </c>
      <c r="G106" s="43">
        <f t="shared" si="164"/>
        <v>2</v>
      </c>
      <c r="H106" s="43">
        <f t="shared" si="164"/>
        <v>2000</v>
      </c>
      <c r="I106" s="43">
        <f t="shared" si="164"/>
        <v>0</v>
      </c>
      <c r="J106" s="43">
        <f t="shared" si="164"/>
        <v>0</v>
      </c>
      <c r="K106" s="43">
        <f>SUM(K107:K108)</f>
        <v>0</v>
      </c>
      <c r="L106" s="43">
        <f>SUM(L107:L108)</f>
        <v>2</v>
      </c>
      <c r="M106" s="246">
        <f>SUM(M107:M108)</f>
        <v>0</v>
      </c>
      <c r="N106" s="80"/>
      <c r="O106" s="80"/>
      <c r="P106" s="80"/>
      <c r="Q106" s="80"/>
      <c r="R106" s="80"/>
      <c r="S106" s="80"/>
      <c r="T106" s="80"/>
      <c r="U106" s="80"/>
      <c r="V106" s="80"/>
      <c r="W106" s="43">
        <f>W107+W108</f>
        <v>17070</v>
      </c>
      <c r="X106" s="235">
        <f t="shared" ref="X106" si="165">SUM(X107:X108)</f>
        <v>0</v>
      </c>
      <c r="Y106" s="43">
        <f t="shared" ref="Y106:AP106" si="166">Y107+Y108</f>
        <v>17000</v>
      </c>
      <c r="Z106" s="43">
        <f t="shared" si="166"/>
        <v>0</v>
      </c>
      <c r="AA106" s="43">
        <f t="shared" si="166"/>
        <v>14200</v>
      </c>
      <c r="AB106" s="235">
        <f t="shared" si="166"/>
        <v>0</v>
      </c>
      <c r="AC106" s="235">
        <f t="shared" si="166"/>
        <v>17000</v>
      </c>
      <c r="AD106" s="235">
        <f t="shared" si="166"/>
        <v>0</v>
      </c>
      <c r="AE106" s="235">
        <f t="shared" si="166"/>
        <v>0</v>
      </c>
      <c r="AF106" s="235">
        <f t="shared" si="166"/>
        <v>0</v>
      </c>
      <c r="AG106" s="235">
        <f t="shared" si="166"/>
        <v>7400</v>
      </c>
      <c r="AH106" s="235">
        <f t="shared" si="166"/>
        <v>5453</v>
      </c>
      <c r="AI106" s="235">
        <f t="shared" si="166"/>
        <v>9400</v>
      </c>
      <c r="AJ106" s="43">
        <f t="shared" si="166"/>
        <v>9400</v>
      </c>
      <c r="AK106" s="235">
        <f t="shared" si="166"/>
        <v>3500</v>
      </c>
      <c r="AL106" s="43">
        <f t="shared" si="166"/>
        <v>2000</v>
      </c>
      <c r="AM106" s="43">
        <f t="shared" si="166"/>
        <v>0</v>
      </c>
      <c r="AN106" s="43">
        <f t="shared" si="166"/>
        <v>2000</v>
      </c>
      <c r="AO106" s="43">
        <f t="shared" si="166"/>
        <v>0</v>
      </c>
      <c r="AP106" s="43">
        <f t="shared" si="166"/>
        <v>0</v>
      </c>
      <c r="AQ106" s="43"/>
      <c r="AR106" s="48">
        <f t="shared" si="155"/>
        <v>2800</v>
      </c>
      <c r="AS106" s="49" t="e">
        <f>#REF!-AL106</f>
        <v>#REF!</v>
      </c>
    </row>
    <row r="107" spans="2:45" s="50" customFormat="1" ht="55.5" customHeight="1">
      <c r="B107" s="237">
        <v>1</v>
      </c>
      <c r="C107" s="345" t="s">
        <v>892</v>
      </c>
      <c r="D107" s="440">
        <v>1</v>
      </c>
      <c r="E107" s="47"/>
      <c r="F107" s="47"/>
      <c r="G107" s="64">
        <v>1</v>
      </c>
      <c r="H107" s="47">
        <f>G107*AL107</f>
        <v>1000</v>
      </c>
      <c r="I107" s="47"/>
      <c r="J107" s="47"/>
      <c r="K107" s="47"/>
      <c r="L107" s="64">
        <v>1</v>
      </c>
      <c r="M107" s="88"/>
      <c r="N107" s="41" t="s">
        <v>213</v>
      </c>
      <c r="O107" s="41" t="s">
        <v>259</v>
      </c>
      <c r="P107" s="39" t="s">
        <v>253</v>
      </c>
      <c r="Q107" s="41">
        <v>7918523</v>
      </c>
      <c r="R107" s="41"/>
      <c r="S107" s="41" t="s">
        <v>260</v>
      </c>
      <c r="T107" s="90" t="s">
        <v>114</v>
      </c>
      <c r="U107" s="90"/>
      <c r="V107" s="90" t="s">
        <v>890</v>
      </c>
      <c r="W107" s="46">
        <v>5231</v>
      </c>
      <c r="X107" s="250"/>
      <c r="Y107" s="46">
        <v>5200</v>
      </c>
      <c r="Z107" s="235"/>
      <c r="AA107" s="46">
        <v>5200</v>
      </c>
      <c r="AB107" s="235"/>
      <c r="AC107" s="217">
        <v>5200</v>
      </c>
      <c r="AD107" s="235"/>
      <c r="AE107" s="235"/>
      <c r="AF107" s="235"/>
      <c r="AG107" s="213">
        <v>2900</v>
      </c>
      <c r="AH107" s="221">
        <v>1745</v>
      </c>
      <c r="AI107" s="213">
        <v>2900</v>
      </c>
      <c r="AJ107" s="47">
        <f t="shared" ref="AJ107:AJ108" si="167">AF107+AI107</f>
        <v>2900</v>
      </c>
      <c r="AK107" s="217">
        <v>1000</v>
      </c>
      <c r="AL107" s="47">
        <f t="shared" ref="AL107:AL119" si="168">AM107+AN107+AO107</f>
        <v>1000</v>
      </c>
      <c r="AM107" s="43"/>
      <c r="AN107" s="46">
        <v>1000</v>
      </c>
      <c r="AO107" s="43"/>
      <c r="AP107" s="43"/>
      <c r="AQ107" s="47"/>
      <c r="AR107" s="48">
        <f t="shared" si="155"/>
        <v>1300</v>
      </c>
      <c r="AS107" s="49" t="e">
        <f>#REF!-AL107</f>
        <v>#REF!</v>
      </c>
    </row>
    <row r="108" spans="2:45" s="50" customFormat="1" ht="55.5" customHeight="1">
      <c r="B108" s="237">
        <v>2</v>
      </c>
      <c r="C108" s="345" t="s">
        <v>255</v>
      </c>
      <c r="D108" s="440">
        <v>1</v>
      </c>
      <c r="E108" s="47"/>
      <c r="F108" s="47"/>
      <c r="G108" s="64">
        <v>1</v>
      </c>
      <c r="H108" s="47">
        <f>G108*AL108</f>
        <v>1000</v>
      </c>
      <c r="I108" s="47"/>
      <c r="J108" s="47"/>
      <c r="K108" s="47"/>
      <c r="L108" s="64">
        <v>1</v>
      </c>
      <c r="M108" s="88"/>
      <c r="N108" s="41" t="s">
        <v>213</v>
      </c>
      <c r="O108" s="41" t="s">
        <v>259</v>
      </c>
      <c r="P108" s="39" t="s">
        <v>253</v>
      </c>
      <c r="Q108" s="41">
        <v>7927472</v>
      </c>
      <c r="R108" s="41"/>
      <c r="S108" s="41" t="s">
        <v>261</v>
      </c>
      <c r="T108" s="90" t="s">
        <v>114</v>
      </c>
      <c r="U108" s="90"/>
      <c r="V108" s="90" t="s">
        <v>891</v>
      </c>
      <c r="W108" s="46">
        <v>11839</v>
      </c>
      <c r="X108" s="250"/>
      <c r="Y108" s="46">
        <v>11800</v>
      </c>
      <c r="Z108" s="235"/>
      <c r="AA108" s="46">
        <v>9000</v>
      </c>
      <c r="AB108" s="235"/>
      <c r="AC108" s="217">
        <v>11800</v>
      </c>
      <c r="AD108" s="235"/>
      <c r="AE108" s="235"/>
      <c r="AF108" s="235"/>
      <c r="AG108" s="213">
        <f>2900+1600</f>
        <v>4500</v>
      </c>
      <c r="AH108" s="221">
        <v>3708</v>
      </c>
      <c r="AI108" s="213">
        <v>6500</v>
      </c>
      <c r="AJ108" s="47">
        <f t="shared" si="167"/>
        <v>6500</v>
      </c>
      <c r="AK108" s="217">
        <v>2500</v>
      </c>
      <c r="AL108" s="47">
        <f t="shared" si="168"/>
        <v>1000</v>
      </c>
      <c r="AM108" s="43"/>
      <c r="AN108" s="46">
        <v>1000</v>
      </c>
      <c r="AO108" s="43"/>
      <c r="AP108" s="43"/>
      <c r="AQ108" s="47"/>
      <c r="AR108" s="48">
        <f t="shared" si="155"/>
        <v>1500</v>
      </c>
      <c r="AS108" s="49" t="e">
        <f>#REF!-AL108</f>
        <v>#REF!</v>
      </c>
    </row>
    <row r="109" spans="2:45" s="50" customFormat="1" ht="22.5" customHeight="1">
      <c r="B109" s="89"/>
      <c r="C109" s="346" t="s">
        <v>304</v>
      </c>
      <c r="D109" s="247">
        <f t="shared" ref="D109:J109" si="169">D110+D111+D112+D113+D114+D115+D116+D117+D118+D119</f>
        <v>10</v>
      </c>
      <c r="E109" s="43">
        <f t="shared" si="169"/>
        <v>0</v>
      </c>
      <c r="F109" s="43">
        <f t="shared" si="169"/>
        <v>0</v>
      </c>
      <c r="G109" s="43">
        <f t="shared" si="169"/>
        <v>10</v>
      </c>
      <c r="H109" s="43">
        <f t="shared" si="169"/>
        <v>20380</v>
      </c>
      <c r="I109" s="43">
        <f t="shared" si="169"/>
        <v>0</v>
      </c>
      <c r="J109" s="43">
        <f t="shared" si="169"/>
        <v>0</v>
      </c>
      <c r="K109" s="43">
        <f t="shared" ref="K109:M109" si="170">SUM(K110:K119)</f>
        <v>0</v>
      </c>
      <c r="L109" s="43">
        <f t="shared" si="170"/>
        <v>10</v>
      </c>
      <c r="M109" s="246">
        <f t="shared" si="170"/>
        <v>0</v>
      </c>
      <c r="N109" s="39"/>
      <c r="O109" s="39"/>
      <c r="P109" s="39"/>
      <c r="Q109" s="39"/>
      <c r="R109" s="39"/>
      <c r="S109" s="39"/>
      <c r="T109" s="39"/>
      <c r="U109" s="39"/>
      <c r="V109" s="39"/>
      <c r="W109" s="43">
        <f>W110+W111+W112+W113+W114+W115+W116+W117+W118+W119</f>
        <v>163303</v>
      </c>
      <c r="X109" s="235">
        <f t="shared" ref="X109" si="171">SUM(X110:X119)</f>
        <v>0</v>
      </c>
      <c r="Y109" s="43">
        <f t="shared" ref="Y109:AP109" si="172">Y110+Y111+Y112+Y113+Y114+Y115+Y116+Y117+Y118+Y119</f>
        <v>163303</v>
      </c>
      <c r="Z109" s="43">
        <f t="shared" si="172"/>
        <v>0</v>
      </c>
      <c r="AA109" s="43">
        <f t="shared" si="172"/>
        <v>130420</v>
      </c>
      <c r="AB109" s="235">
        <f t="shared" si="172"/>
        <v>0</v>
      </c>
      <c r="AC109" s="235">
        <f t="shared" si="172"/>
        <v>154414.1</v>
      </c>
      <c r="AD109" s="235">
        <f t="shared" si="172"/>
        <v>0</v>
      </c>
      <c r="AE109" s="235">
        <f t="shared" si="172"/>
        <v>0</v>
      </c>
      <c r="AF109" s="235">
        <f t="shared" si="172"/>
        <v>49994.659</v>
      </c>
      <c r="AG109" s="235">
        <f t="shared" si="172"/>
        <v>43000</v>
      </c>
      <c r="AH109" s="235">
        <f t="shared" si="172"/>
        <v>3798.49</v>
      </c>
      <c r="AI109" s="235">
        <f t="shared" si="172"/>
        <v>46960</v>
      </c>
      <c r="AJ109" s="43">
        <f t="shared" si="172"/>
        <v>96954.659</v>
      </c>
      <c r="AK109" s="235">
        <f t="shared" si="172"/>
        <v>49448</v>
      </c>
      <c r="AL109" s="43">
        <f t="shared" si="172"/>
        <v>20380</v>
      </c>
      <c r="AM109" s="43">
        <f t="shared" si="172"/>
        <v>0</v>
      </c>
      <c r="AN109" s="43">
        <f t="shared" si="172"/>
        <v>20380</v>
      </c>
      <c r="AO109" s="43">
        <f t="shared" si="172"/>
        <v>0</v>
      </c>
      <c r="AP109" s="43">
        <f t="shared" si="172"/>
        <v>0</v>
      </c>
      <c r="AQ109" s="47"/>
      <c r="AR109" s="48">
        <f t="shared" si="155"/>
        <v>13085.341</v>
      </c>
      <c r="AS109" s="49" t="e">
        <f>#REF!-AL109</f>
        <v>#REF!</v>
      </c>
    </row>
    <row r="110" spans="2:45" s="50" customFormat="1" ht="157.5" customHeight="1">
      <c r="B110" s="240" t="s">
        <v>176</v>
      </c>
      <c r="C110" s="102" t="s">
        <v>305</v>
      </c>
      <c r="D110" s="93">
        <v>1</v>
      </c>
      <c r="E110" s="47"/>
      <c r="F110" s="47"/>
      <c r="G110" s="47">
        <v>1</v>
      </c>
      <c r="H110" s="47">
        <f t="shared" ref="H110:H119" si="173">G110*AL110</f>
        <v>2000</v>
      </c>
      <c r="I110" s="47"/>
      <c r="J110" s="47"/>
      <c r="K110" s="47"/>
      <c r="L110" s="47">
        <v>1</v>
      </c>
      <c r="M110" s="88"/>
      <c r="N110" s="39" t="s">
        <v>222</v>
      </c>
      <c r="O110" s="39" t="s">
        <v>324</v>
      </c>
      <c r="P110" s="39" t="s">
        <v>303</v>
      </c>
      <c r="Q110" s="40">
        <v>7875894</v>
      </c>
      <c r="R110" s="68"/>
      <c r="S110" s="39" t="s">
        <v>325</v>
      </c>
      <c r="T110" s="39" t="s">
        <v>170</v>
      </c>
      <c r="U110" s="39"/>
      <c r="V110" s="39" t="s">
        <v>834</v>
      </c>
      <c r="W110" s="68">
        <v>13067</v>
      </c>
      <c r="X110" s="250"/>
      <c r="Y110" s="68">
        <v>13067</v>
      </c>
      <c r="Z110" s="235"/>
      <c r="AA110" s="68">
        <v>13000</v>
      </c>
      <c r="AB110" s="235"/>
      <c r="AC110" s="250">
        <v>13000</v>
      </c>
      <c r="AD110" s="235"/>
      <c r="AE110" s="235"/>
      <c r="AF110" s="294">
        <v>5895</v>
      </c>
      <c r="AG110" s="213">
        <v>3000</v>
      </c>
      <c r="AH110" s="235"/>
      <c r="AI110" s="294">
        <v>3800</v>
      </c>
      <c r="AJ110" s="47">
        <f t="shared" ref="AJ110:AJ119" si="174">AF110+AI110</f>
        <v>9695</v>
      </c>
      <c r="AK110" s="120">
        <v>3300</v>
      </c>
      <c r="AL110" s="47">
        <f t="shared" si="168"/>
        <v>2000</v>
      </c>
      <c r="AM110" s="43"/>
      <c r="AN110" s="47">
        <v>2000</v>
      </c>
      <c r="AO110" s="43"/>
      <c r="AP110" s="43"/>
      <c r="AQ110" s="47"/>
      <c r="AR110" s="48">
        <f t="shared" si="155"/>
        <v>1305</v>
      </c>
      <c r="AS110" s="49" t="e">
        <f>#REF!-AL110</f>
        <v>#REF!</v>
      </c>
    </row>
    <row r="111" spans="2:45" s="50" customFormat="1" ht="161.25" customHeight="1">
      <c r="B111" s="240" t="s">
        <v>306</v>
      </c>
      <c r="C111" s="102" t="s">
        <v>307</v>
      </c>
      <c r="D111" s="93">
        <v>1</v>
      </c>
      <c r="E111" s="47"/>
      <c r="F111" s="47"/>
      <c r="G111" s="47">
        <v>1</v>
      </c>
      <c r="H111" s="47">
        <f t="shared" si="173"/>
        <v>500</v>
      </c>
      <c r="I111" s="47"/>
      <c r="J111" s="47"/>
      <c r="K111" s="47"/>
      <c r="L111" s="47">
        <v>1</v>
      </c>
      <c r="M111" s="88"/>
      <c r="N111" s="39" t="s">
        <v>222</v>
      </c>
      <c r="O111" s="39" t="s">
        <v>324</v>
      </c>
      <c r="P111" s="39" t="s">
        <v>303</v>
      </c>
      <c r="Q111" s="40">
        <v>7875895</v>
      </c>
      <c r="R111" s="47"/>
      <c r="S111" s="39" t="s">
        <v>326</v>
      </c>
      <c r="T111" s="39" t="s">
        <v>170</v>
      </c>
      <c r="U111" s="39"/>
      <c r="V111" s="39" t="s">
        <v>835</v>
      </c>
      <c r="W111" s="47">
        <v>8512</v>
      </c>
      <c r="X111" s="120"/>
      <c r="Y111" s="68">
        <v>8512</v>
      </c>
      <c r="Z111" s="235"/>
      <c r="AA111" s="68">
        <v>8500</v>
      </c>
      <c r="AB111" s="235"/>
      <c r="AC111" s="250">
        <v>8500</v>
      </c>
      <c r="AD111" s="235"/>
      <c r="AE111" s="235"/>
      <c r="AF111" s="213">
        <v>3959</v>
      </c>
      <c r="AG111" s="213">
        <v>3000</v>
      </c>
      <c r="AH111" s="213">
        <v>1423</v>
      </c>
      <c r="AI111" s="213">
        <v>3700</v>
      </c>
      <c r="AJ111" s="47">
        <f t="shared" si="174"/>
        <v>7659</v>
      </c>
      <c r="AK111" s="120">
        <v>500</v>
      </c>
      <c r="AL111" s="47">
        <f t="shared" si="168"/>
        <v>500</v>
      </c>
      <c r="AM111" s="43"/>
      <c r="AN111" s="47">
        <v>500</v>
      </c>
      <c r="AO111" s="43"/>
      <c r="AP111" s="43"/>
      <c r="AQ111" s="47"/>
      <c r="AR111" s="48">
        <f t="shared" si="155"/>
        <v>341</v>
      </c>
      <c r="AS111" s="49" t="e">
        <f>#REF!-AL111</f>
        <v>#REF!</v>
      </c>
    </row>
    <row r="112" spans="2:45" s="50" customFormat="1" ht="157.5" customHeight="1">
      <c r="B112" s="240" t="s">
        <v>308</v>
      </c>
      <c r="C112" s="102" t="s">
        <v>309</v>
      </c>
      <c r="D112" s="93">
        <v>1</v>
      </c>
      <c r="E112" s="47"/>
      <c r="F112" s="47"/>
      <c r="G112" s="47">
        <v>1</v>
      </c>
      <c r="H112" s="47">
        <f t="shared" si="173"/>
        <v>4000</v>
      </c>
      <c r="I112" s="47"/>
      <c r="J112" s="47"/>
      <c r="K112" s="47"/>
      <c r="L112" s="47">
        <v>1</v>
      </c>
      <c r="M112" s="88"/>
      <c r="N112" s="39" t="s">
        <v>222</v>
      </c>
      <c r="O112" s="39" t="s">
        <v>324</v>
      </c>
      <c r="P112" s="39" t="s">
        <v>303</v>
      </c>
      <c r="Q112" s="40">
        <v>7875893</v>
      </c>
      <c r="R112" s="68"/>
      <c r="S112" s="39" t="s">
        <v>327</v>
      </c>
      <c r="T112" s="39" t="s">
        <v>170</v>
      </c>
      <c r="U112" s="39"/>
      <c r="V112" s="39" t="s">
        <v>836</v>
      </c>
      <c r="W112" s="68">
        <v>12048</v>
      </c>
      <c r="X112" s="250"/>
      <c r="Y112" s="68">
        <f>W112</f>
        <v>12048</v>
      </c>
      <c r="Z112" s="235"/>
      <c r="AA112" s="68">
        <v>11800</v>
      </c>
      <c r="AB112" s="235"/>
      <c r="AC112" s="250">
        <v>12000</v>
      </c>
      <c r="AD112" s="235"/>
      <c r="AE112" s="235"/>
      <c r="AF112" s="250">
        <v>4740</v>
      </c>
      <c r="AG112" s="213">
        <v>3000</v>
      </c>
      <c r="AH112" s="235"/>
      <c r="AI112" s="213">
        <v>700</v>
      </c>
      <c r="AJ112" s="47">
        <f t="shared" si="174"/>
        <v>5440</v>
      </c>
      <c r="AK112" s="120">
        <v>1800</v>
      </c>
      <c r="AL112" s="47">
        <f t="shared" si="168"/>
        <v>4000</v>
      </c>
      <c r="AM112" s="43"/>
      <c r="AN112" s="47">
        <v>4000</v>
      </c>
      <c r="AO112" s="43"/>
      <c r="AP112" s="43"/>
      <c r="AQ112" s="47"/>
      <c r="AR112" s="48">
        <f t="shared" si="155"/>
        <v>2360</v>
      </c>
      <c r="AS112" s="49" t="e">
        <f>#REF!-AL112</f>
        <v>#REF!</v>
      </c>
    </row>
    <row r="113" spans="2:45" s="50" customFormat="1" ht="154.5" customHeight="1">
      <c r="B113" s="240" t="s">
        <v>310</v>
      </c>
      <c r="C113" s="102" t="s">
        <v>311</v>
      </c>
      <c r="D113" s="93">
        <v>1</v>
      </c>
      <c r="E113" s="47"/>
      <c r="F113" s="47"/>
      <c r="G113" s="47">
        <v>1</v>
      </c>
      <c r="H113" s="47">
        <f t="shared" si="173"/>
        <v>500</v>
      </c>
      <c r="I113" s="47"/>
      <c r="J113" s="47"/>
      <c r="K113" s="47"/>
      <c r="L113" s="47">
        <v>1</v>
      </c>
      <c r="M113" s="88"/>
      <c r="N113" s="39" t="s">
        <v>222</v>
      </c>
      <c r="O113" s="39" t="s">
        <v>324</v>
      </c>
      <c r="P113" s="39" t="s">
        <v>303</v>
      </c>
      <c r="Q113" s="39">
        <v>7875928</v>
      </c>
      <c r="R113" s="80"/>
      <c r="S113" s="39" t="s">
        <v>328</v>
      </c>
      <c r="T113" s="39" t="s">
        <v>170</v>
      </c>
      <c r="U113" s="39"/>
      <c r="V113" s="39" t="s">
        <v>837</v>
      </c>
      <c r="W113" s="68">
        <v>13099</v>
      </c>
      <c r="X113" s="120"/>
      <c r="Y113" s="68">
        <v>13099</v>
      </c>
      <c r="Z113" s="235"/>
      <c r="AA113" s="47">
        <v>13000</v>
      </c>
      <c r="AB113" s="235"/>
      <c r="AC113" s="120">
        <v>13000</v>
      </c>
      <c r="AD113" s="235"/>
      <c r="AE113" s="235"/>
      <c r="AF113" s="213">
        <v>5968.4840000000004</v>
      </c>
      <c r="AG113" s="213">
        <v>3000</v>
      </c>
      <c r="AH113" s="213">
        <v>2375.4899999999998</v>
      </c>
      <c r="AI113" s="213">
        <v>6300</v>
      </c>
      <c r="AJ113" s="47">
        <f t="shared" si="174"/>
        <v>12268.484</v>
      </c>
      <c r="AK113" s="120">
        <v>2900</v>
      </c>
      <c r="AL113" s="47">
        <f t="shared" si="168"/>
        <v>500</v>
      </c>
      <c r="AM113" s="43"/>
      <c r="AN113" s="47">
        <v>500</v>
      </c>
      <c r="AO113" s="43"/>
      <c r="AP113" s="43"/>
      <c r="AQ113" s="47"/>
      <c r="AR113" s="48">
        <f t="shared" si="155"/>
        <v>231.51599999999962</v>
      </c>
      <c r="AS113" s="49" t="e">
        <f>#REF!-AL113</f>
        <v>#REF!</v>
      </c>
    </row>
    <row r="114" spans="2:45" s="50" customFormat="1" ht="106.5" customHeight="1">
      <c r="B114" s="240" t="s">
        <v>312</v>
      </c>
      <c r="C114" s="102" t="s">
        <v>313</v>
      </c>
      <c r="D114" s="93">
        <v>1</v>
      </c>
      <c r="E114" s="47"/>
      <c r="F114" s="47"/>
      <c r="G114" s="47">
        <v>1</v>
      </c>
      <c r="H114" s="47">
        <f t="shared" si="173"/>
        <v>4000</v>
      </c>
      <c r="I114" s="47"/>
      <c r="J114" s="47"/>
      <c r="K114" s="47"/>
      <c r="L114" s="47">
        <v>1</v>
      </c>
      <c r="M114" s="88"/>
      <c r="N114" s="39" t="s">
        <v>222</v>
      </c>
      <c r="O114" s="39" t="s">
        <v>324</v>
      </c>
      <c r="P114" s="39" t="s">
        <v>303</v>
      </c>
      <c r="Q114" s="39">
        <v>7875890</v>
      </c>
      <c r="R114" s="80"/>
      <c r="S114" s="39" t="s">
        <v>329</v>
      </c>
      <c r="T114" s="39" t="s">
        <v>170</v>
      </c>
      <c r="U114" s="39"/>
      <c r="V114" s="39" t="s">
        <v>838</v>
      </c>
      <c r="W114" s="68">
        <v>19680</v>
      </c>
      <c r="X114" s="120"/>
      <c r="Y114" s="68">
        <v>19680</v>
      </c>
      <c r="Z114" s="235"/>
      <c r="AA114" s="47">
        <v>9900</v>
      </c>
      <c r="AB114" s="235"/>
      <c r="AC114" s="120">
        <f>Y114*0.9</f>
        <v>17712</v>
      </c>
      <c r="AD114" s="235"/>
      <c r="AE114" s="235"/>
      <c r="AF114" s="250">
        <v>500</v>
      </c>
      <c r="AG114" s="213">
        <v>3000</v>
      </c>
      <c r="AH114" s="235"/>
      <c r="AI114" s="422">
        <v>4500</v>
      </c>
      <c r="AJ114" s="47">
        <f t="shared" si="174"/>
        <v>5000</v>
      </c>
      <c r="AK114" s="120">
        <v>16180</v>
      </c>
      <c r="AL114" s="47">
        <f t="shared" si="168"/>
        <v>4000</v>
      </c>
      <c r="AM114" s="43"/>
      <c r="AN114" s="47">
        <v>4000</v>
      </c>
      <c r="AO114" s="43"/>
      <c r="AP114" s="43"/>
      <c r="AQ114" s="47"/>
      <c r="AR114" s="48">
        <f t="shared" si="155"/>
        <v>900</v>
      </c>
      <c r="AS114" s="49" t="e">
        <f>#REF!-AL114</f>
        <v>#REF!</v>
      </c>
    </row>
    <row r="115" spans="2:45" s="50" customFormat="1" ht="111" customHeight="1">
      <c r="B115" s="240" t="s">
        <v>314</v>
      </c>
      <c r="C115" s="102" t="s">
        <v>315</v>
      </c>
      <c r="D115" s="93">
        <v>1</v>
      </c>
      <c r="E115" s="47"/>
      <c r="F115" s="47"/>
      <c r="G115" s="47">
        <v>1</v>
      </c>
      <c r="H115" s="47">
        <f t="shared" si="173"/>
        <v>6200</v>
      </c>
      <c r="I115" s="47"/>
      <c r="J115" s="47"/>
      <c r="K115" s="47"/>
      <c r="L115" s="47">
        <v>1</v>
      </c>
      <c r="M115" s="88"/>
      <c r="N115" s="39" t="s">
        <v>222</v>
      </c>
      <c r="O115" s="39" t="s">
        <v>324</v>
      </c>
      <c r="P115" s="39" t="s">
        <v>303</v>
      </c>
      <c r="Q115" s="40">
        <v>7875887</v>
      </c>
      <c r="R115" s="80"/>
      <c r="S115" s="39" t="s">
        <v>330</v>
      </c>
      <c r="T115" s="39" t="s">
        <v>170</v>
      </c>
      <c r="U115" s="39"/>
      <c r="V115" s="39" t="s">
        <v>839</v>
      </c>
      <c r="W115" s="68">
        <v>29723</v>
      </c>
      <c r="X115" s="250"/>
      <c r="Y115" s="68">
        <v>29723</v>
      </c>
      <c r="Z115" s="235"/>
      <c r="AA115" s="68">
        <v>24400</v>
      </c>
      <c r="AB115" s="235"/>
      <c r="AC115" s="120">
        <f>Y115*0.9</f>
        <v>26750.7</v>
      </c>
      <c r="AD115" s="235"/>
      <c r="AE115" s="235"/>
      <c r="AF115" s="250">
        <v>10241</v>
      </c>
      <c r="AG115" s="213">
        <v>3000</v>
      </c>
      <c r="AH115" s="235"/>
      <c r="AI115" s="213">
        <f>3000+1760</f>
        <v>4760</v>
      </c>
      <c r="AJ115" s="47">
        <f t="shared" si="174"/>
        <v>15001</v>
      </c>
      <c r="AK115" s="120">
        <v>6200</v>
      </c>
      <c r="AL115" s="47">
        <f t="shared" si="168"/>
        <v>6200</v>
      </c>
      <c r="AM115" s="43"/>
      <c r="AN115" s="47">
        <v>6200</v>
      </c>
      <c r="AO115" s="43"/>
      <c r="AP115" s="43"/>
      <c r="AQ115" s="47"/>
      <c r="AR115" s="48">
        <f t="shared" si="155"/>
        <v>3199</v>
      </c>
      <c r="AS115" s="49" t="e">
        <f>#REF!-AL115</f>
        <v>#REF!</v>
      </c>
    </row>
    <row r="116" spans="2:45" s="50" customFormat="1" ht="119.25" customHeight="1">
      <c r="B116" s="240" t="s">
        <v>316</v>
      </c>
      <c r="C116" s="102" t="s">
        <v>317</v>
      </c>
      <c r="D116" s="93">
        <v>1</v>
      </c>
      <c r="E116" s="47"/>
      <c r="F116" s="47"/>
      <c r="G116" s="47">
        <v>1</v>
      </c>
      <c r="H116" s="47">
        <f t="shared" si="173"/>
        <v>1000</v>
      </c>
      <c r="I116" s="47"/>
      <c r="J116" s="47"/>
      <c r="K116" s="47"/>
      <c r="L116" s="47">
        <v>1</v>
      </c>
      <c r="M116" s="88"/>
      <c r="N116" s="39" t="s">
        <v>222</v>
      </c>
      <c r="O116" s="39" t="s">
        <v>324</v>
      </c>
      <c r="P116" s="39" t="s">
        <v>303</v>
      </c>
      <c r="Q116" s="40">
        <v>7889687</v>
      </c>
      <c r="R116" s="80"/>
      <c r="S116" s="39" t="s">
        <v>325</v>
      </c>
      <c r="T116" s="39" t="s">
        <v>170</v>
      </c>
      <c r="U116" s="39"/>
      <c r="V116" s="39" t="s">
        <v>577</v>
      </c>
      <c r="W116" s="68">
        <v>10329</v>
      </c>
      <c r="X116" s="250"/>
      <c r="Y116" s="68">
        <v>10329</v>
      </c>
      <c r="Z116" s="235"/>
      <c r="AA116" s="68">
        <v>10300</v>
      </c>
      <c r="AB116" s="235"/>
      <c r="AC116" s="250">
        <v>10300</v>
      </c>
      <c r="AD116" s="235"/>
      <c r="AE116" s="235"/>
      <c r="AF116" s="250">
        <v>4716.2780000000002</v>
      </c>
      <c r="AG116" s="250">
        <v>3500</v>
      </c>
      <c r="AH116" s="235"/>
      <c r="AI116" s="250">
        <v>2000</v>
      </c>
      <c r="AJ116" s="47">
        <f t="shared" si="174"/>
        <v>6716.2780000000002</v>
      </c>
      <c r="AK116" s="120">
        <v>1200</v>
      </c>
      <c r="AL116" s="47">
        <f t="shared" si="168"/>
        <v>1000</v>
      </c>
      <c r="AM116" s="43"/>
      <c r="AN116" s="47">
        <v>1000</v>
      </c>
      <c r="AO116" s="43"/>
      <c r="AP116" s="43"/>
      <c r="AQ116" s="47"/>
      <c r="AR116" s="48">
        <f t="shared" si="155"/>
        <v>2583.7219999999998</v>
      </c>
      <c r="AS116" s="49" t="e">
        <f>#REF!-AL116</f>
        <v>#REF!</v>
      </c>
    </row>
    <row r="117" spans="2:45" s="50" customFormat="1" ht="113.25" customHeight="1">
      <c r="B117" s="240" t="s">
        <v>318</v>
      </c>
      <c r="C117" s="102" t="s">
        <v>319</v>
      </c>
      <c r="D117" s="93">
        <v>1</v>
      </c>
      <c r="E117" s="47"/>
      <c r="F117" s="47"/>
      <c r="G117" s="47">
        <v>1</v>
      </c>
      <c r="H117" s="47">
        <f t="shared" si="173"/>
        <v>500</v>
      </c>
      <c r="I117" s="47"/>
      <c r="J117" s="47"/>
      <c r="K117" s="47"/>
      <c r="L117" s="47">
        <v>1</v>
      </c>
      <c r="M117" s="88"/>
      <c r="N117" s="39" t="s">
        <v>222</v>
      </c>
      <c r="O117" s="39" t="s">
        <v>324</v>
      </c>
      <c r="P117" s="39" t="s">
        <v>303</v>
      </c>
      <c r="Q117" s="40">
        <v>7889689</v>
      </c>
      <c r="R117" s="80"/>
      <c r="S117" s="39" t="s">
        <v>331</v>
      </c>
      <c r="T117" s="39" t="s">
        <v>170</v>
      </c>
      <c r="U117" s="39"/>
      <c r="V117" s="39" t="s">
        <v>578</v>
      </c>
      <c r="W117" s="68">
        <v>9017</v>
      </c>
      <c r="X117" s="250"/>
      <c r="Y117" s="68">
        <v>9017</v>
      </c>
      <c r="Z117" s="235"/>
      <c r="AA117" s="68">
        <v>9000</v>
      </c>
      <c r="AB117" s="235"/>
      <c r="AC117" s="250">
        <v>9000</v>
      </c>
      <c r="AD117" s="235"/>
      <c r="AE117" s="235"/>
      <c r="AF117" s="250">
        <v>4142.8969999999999</v>
      </c>
      <c r="AG117" s="250">
        <v>3500</v>
      </c>
      <c r="AH117" s="235"/>
      <c r="AI117" s="250">
        <v>3500</v>
      </c>
      <c r="AJ117" s="47">
        <f t="shared" si="174"/>
        <v>7642.8969999999999</v>
      </c>
      <c r="AK117" s="120">
        <v>500</v>
      </c>
      <c r="AL117" s="47">
        <f t="shared" si="168"/>
        <v>500</v>
      </c>
      <c r="AM117" s="43"/>
      <c r="AN117" s="47">
        <v>500</v>
      </c>
      <c r="AO117" s="43"/>
      <c r="AP117" s="43"/>
      <c r="AQ117" s="47"/>
      <c r="AR117" s="48">
        <f t="shared" si="155"/>
        <v>857.10300000000007</v>
      </c>
      <c r="AS117" s="49" t="e">
        <f>#REF!-AL117</f>
        <v>#REF!</v>
      </c>
    </row>
    <row r="118" spans="2:45" s="50" customFormat="1" ht="111" customHeight="1">
      <c r="B118" s="240" t="s">
        <v>320</v>
      </c>
      <c r="C118" s="102" t="s">
        <v>321</v>
      </c>
      <c r="D118" s="93">
        <v>1</v>
      </c>
      <c r="E118" s="47"/>
      <c r="F118" s="47"/>
      <c r="G118" s="47">
        <v>1</v>
      </c>
      <c r="H118" s="47">
        <f t="shared" si="173"/>
        <v>1000</v>
      </c>
      <c r="I118" s="47"/>
      <c r="J118" s="47"/>
      <c r="K118" s="47"/>
      <c r="L118" s="47">
        <v>1</v>
      </c>
      <c r="M118" s="88"/>
      <c r="N118" s="39" t="s">
        <v>222</v>
      </c>
      <c r="O118" s="39" t="s">
        <v>324</v>
      </c>
      <c r="P118" s="39" t="s">
        <v>303</v>
      </c>
      <c r="Q118" s="40">
        <v>7889688</v>
      </c>
      <c r="R118" s="80"/>
      <c r="S118" s="39" t="s">
        <v>332</v>
      </c>
      <c r="T118" s="39" t="s">
        <v>114</v>
      </c>
      <c r="U118" s="39"/>
      <c r="V118" s="39" t="s">
        <v>579</v>
      </c>
      <c r="W118" s="68">
        <v>11882</v>
      </c>
      <c r="X118" s="250"/>
      <c r="Y118" s="68">
        <v>11882</v>
      </c>
      <c r="Z118" s="235"/>
      <c r="AA118" s="47">
        <v>11800</v>
      </c>
      <c r="AB118" s="235"/>
      <c r="AC118" s="120">
        <v>11800</v>
      </c>
      <c r="AD118" s="235"/>
      <c r="AE118" s="235"/>
      <c r="AF118" s="250">
        <v>5000</v>
      </c>
      <c r="AG118" s="250">
        <v>3500</v>
      </c>
      <c r="AH118" s="235"/>
      <c r="AI118" s="424">
        <f>3500+1000</f>
        <v>4500</v>
      </c>
      <c r="AJ118" s="47">
        <f t="shared" si="174"/>
        <v>9500</v>
      </c>
      <c r="AK118" s="120">
        <v>2800</v>
      </c>
      <c r="AL118" s="47">
        <f t="shared" si="168"/>
        <v>1000</v>
      </c>
      <c r="AM118" s="43"/>
      <c r="AN118" s="47">
        <v>1000</v>
      </c>
      <c r="AO118" s="43"/>
      <c r="AP118" s="43"/>
      <c r="AQ118" s="47"/>
      <c r="AR118" s="48">
        <f t="shared" si="155"/>
        <v>1300</v>
      </c>
      <c r="AS118" s="49" t="e">
        <f>#REF!-AL118</f>
        <v>#REF!</v>
      </c>
    </row>
    <row r="119" spans="2:45" s="50" customFormat="1" ht="111.75" customHeight="1">
      <c r="B119" s="240" t="s">
        <v>322</v>
      </c>
      <c r="C119" s="102" t="s">
        <v>323</v>
      </c>
      <c r="D119" s="93">
        <v>1</v>
      </c>
      <c r="E119" s="47"/>
      <c r="F119" s="47"/>
      <c r="G119" s="47">
        <v>1</v>
      </c>
      <c r="H119" s="47">
        <f t="shared" si="173"/>
        <v>680</v>
      </c>
      <c r="I119" s="47"/>
      <c r="J119" s="47"/>
      <c r="K119" s="47"/>
      <c r="L119" s="47">
        <v>1</v>
      </c>
      <c r="M119" s="88"/>
      <c r="N119" s="39" t="s">
        <v>222</v>
      </c>
      <c r="O119" s="39" t="s">
        <v>324</v>
      </c>
      <c r="P119" s="39" t="s">
        <v>303</v>
      </c>
      <c r="Q119" s="40">
        <v>7889686</v>
      </c>
      <c r="R119" s="80"/>
      <c r="S119" s="39" t="s">
        <v>333</v>
      </c>
      <c r="T119" s="39" t="s">
        <v>170</v>
      </c>
      <c r="U119" s="39"/>
      <c r="V119" s="39" t="s">
        <v>840</v>
      </c>
      <c r="W119" s="68">
        <v>35946</v>
      </c>
      <c r="X119" s="250"/>
      <c r="Y119" s="68">
        <v>35946</v>
      </c>
      <c r="Z119" s="235"/>
      <c r="AA119" s="47">
        <f>20800*0.9</f>
        <v>18720</v>
      </c>
      <c r="AB119" s="235"/>
      <c r="AC119" s="120">
        <f>Y119*0.9</f>
        <v>32351.4</v>
      </c>
      <c r="AD119" s="235"/>
      <c r="AE119" s="235"/>
      <c r="AF119" s="250">
        <v>4832</v>
      </c>
      <c r="AG119" s="217">
        <f>3500+11000</f>
        <v>14500</v>
      </c>
      <c r="AH119" s="235"/>
      <c r="AI119" s="217">
        <f>6200+7000</f>
        <v>13200</v>
      </c>
      <c r="AJ119" s="47">
        <f t="shared" si="174"/>
        <v>18032</v>
      </c>
      <c r="AK119" s="120">
        <v>14068</v>
      </c>
      <c r="AL119" s="47">
        <f t="shared" si="168"/>
        <v>680</v>
      </c>
      <c r="AM119" s="43"/>
      <c r="AN119" s="47">
        <v>680</v>
      </c>
      <c r="AO119" s="43"/>
      <c r="AP119" s="43"/>
      <c r="AQ119" s="47"/>
      <c r="AR119" s="48">
        <f t="shared" si="155"/>
        <v>8</v>
      </c>
      <c r="AS119" s="49" t="e">
        <f>#REF!-AL119</f>
        <v>#REF!</v>
      </c>
    </row>
    <row r="120" spans="2:45" s="50" customFormat="1" ht="37.5" customHeight="1">
      <c r="B120" s="89"/>
      <c r="C120" s="346" t="s">
        <v>448</v>
      </c>
      <c r="D120" s="247">
        <f t="shared" ref="D120:J120" si="175">D121+D122+D123</f>
        <v>3</v>
      </c>
      <c r="E120" s="43">
        <f t="shared" si="175"/>
        <v>0</v>
      </c>
      <c r="F120" s="43">
        <f t="shared" si="175"/>
        <v>0</v>
      </c>
      <c r="G120" s="43">
        <f t="shared" si="175"/>
        <v>3</v>
      </c>
      <c r="H120" s="43">
        <f t="shared" si="175"/>
        <v>5960</v>
      </c>
      <c r="I120" s="43">
        <f t="shared" si="175"/>
        <v>0</v>
      </c>
      <c r="J120" s="43">
        <f t="shared" si="175"/>
        <v>0</v>
      </c>
      <c r="K120" s="43">
        <f>SUM(K121:K122)</f>
        <v>0</v>
      </c>
      <c r="L120" s="43">
        <f>SUM(L121:L122)</f>
        <v>2</v>
      </c>
      <c r="M120" s="246">
        <f>SUM(M121:M122)</f>
        <v>0</v>
      </c>
      <c r="N120" s="39"/>
      <c r="O120" s="39"/>
      <c r="P120" s="39"/>
      <c r="Q120" s="39"/>
      <c r="R120" s="39"/>
      <c r="S120" s="39"/>
      <c r="T120" s="39"/>
      <c r="U120" s="39"/>
      <c r="V120" s="39"/>
      <c r="W120" s="43">
        <f t="shared" ref="W120:AK120" si="176">W121+W122+W123</f>
        <v>58519</v>
      </c>
      <c r="X120" s="43">
        <f t="shared" si="176"/>
        <v>0</v>
      </c>
      <c r="Y120" s="43">
        <f t="shared" si="176"/>
        <v>56990</v>
      </c>
      <c r="Z120" s="43">
        <f t="shared" si="176"/>
        <v>0</v>
      </c>
      <c r="AA120" s="43">
        <f t="shared" si="176"/>
        <v>34500</v>
      </c>
      <c r="AB120" s="235">
        <f t="shared" si="176"/>
        <v>0</v>
      </c>
      <c r="AC120" s="235">
        <f t="shared" si="176"/>
        <v>26000</v>
      </c>
      <c r="AD120" s="235">
        <f t="shared" si="176"/>
        <v>0</v>
      </c>
      <c r="AE120" s="235">
        <f t="shared" si="176"/>
        <v>0</v>
      </c>
      <c r="AF120" s="235">
        <f t="shared" si="176"/>
        <v>12840</v>
      </c>
      <c r="AG120" s="235">
        <f t="shared" si="176"/>
        <v>7400</v>
      </c>
      <c r="AH120" s="235">
        <f t="shared" si="176"/>
        <v>7198.5740000000005</v>
      </c>
      <c r="AI120" s="235">
        <f t="shared" si="176"/>
        <v>15700</v>
      </c>
      <c r="AJ120" s="43">
        <f t="shared" si="176"/>
        <v>28540</v>
      </c>
      <c r="AK120" s="235">
        <f t="shared" si="176"/>
        <v>10260</v>
      </c>
      <c r="AL120" s="43">
        <f>AL121+AL122+AL123</f>
        <v>5960</v>
      </c>
      <c r="AM120" s="43">
        <f t="shared" ref="AM120:AP120" si="177">AM121+AM122+AM123</f>
        <v>0</v>
      </c>
      <c r="AN120" s="43">
        <f t="shared" si="177"/>
        <v>5960</v>
      </c>
      <c r="AO120" s="43">
        <f t="shared" si="177"/>
        <v>0</v>
      </c>
      <c r="AP120" s="43">
        <f t="shared" si="177"/>
        <v>0</v>
      </c>
      <c r="AQ120" s="47"/>
      <c r="AR120" s="48">
        <f t="shared" si="155"/>
        <v>0</v>
      </c>
      <c r="AS120" s="49" t="e">
        <f>#REF!-AL120</f>
        <v>#REF!</v>
      </c>
    </row>
    <row r="121" spans="2:45" s="50" customFormat="1" ht="47.45" customHeight="1">
      <c r="B121" s="237">
        <v>1</v>
      </c>
      <c r="C121" s="345" t="s">
        <v>893</v>
      </c>
      <c r="D121" s="441">
        <v>1</v>
      </c>
      <c r="E121" s="47"/>
      <c r="F121" s="47"/>
      <c r="G121" s="386">
        <v>1</v>
      </c>
      <c r="H121" s="47">
        <f>G121*AL121</f>
        <v>3600</v>
      </c>
      <c r="I121" s="47"/>
      <c r="J121" s="47"/>
      <c r="K121" s="47"/>
      <c r="L121" s="386">
        <v>1</v>
      </c>
      <c r="M121" s="88"/>
      <c r="N121" s="41" t="s">
        <v>111</v>
      </c>
      <c r="O121" s="41" t="s">
        <v>109</v>
      </c>
      <c r="P121" s="39" t="s">
        <v>446</v>
      </c>
      <c r="Q121" s="41">
        <v>7918128</v>
      </c>
      <c r="R121" s="41"/>
      <c r="S121" s="41"/>
      <c r="T121" s="90" t="s">
        <v>116</v>
      </c>
      <c r="U121" s="39"/>
      <c r="V121" s="39" t="s">
        <v>450</v>
      </c>
      <c r="W121" s="65">
        <v>14991</v>
      </c>
      <c r="X121" s="250"/>
      <c r="Y121" s="65">
        <v>14000</v>
      </c>
      <c r="Z121" s="235"/>
      <c r="AA121" s="65">
        <v>9800</v>
      </c>
      <c r="AB121" s="235"/>
      <c r="AC121" s="221">
        <v>14000</v>
      </c>
      <c r="AD121" s="235"/>
      <c r="AE121" s="235"/>
      <c r="AF121" s="235"/>
      <c r="AG121" s="213">
        <v>3700</v>
      </c>
      <c r="AH121" s="221">
        <v>3700</v>
      </c>
      <c r="AI121" s="422">
        <v>6200</v>
      </c>
      <c r="AJ121" s="47">
        <f t="shared" ref="AJ121:AJ123" si="178">AF121+AI121</f>
        <v>6200</v>
      </c>
      <c r="AK121" s="241">
        <v>5000</v>
      </c>
      <c r="AL121" s="47">
        <f t="shared" ref="AL121:AL123" si="179">AM121+AN121+AO121</f>
        <v>3600</v>
      </c>
      <c r="AM121" s="43"/>
      <c r="AN121" s="61">
        <v>3600</v>
      </c>
      <c r="AO121" s="43"/>
      <c r="AP121" s="43"/>
      <c r="AQ121" s="47"/>
      <c r="AR121" s="48">
        <f t="shared" si="155"/>
        <v>0</v>
      </c>
      <c r="AS121" s="49" t="e">
        <f>#REF!-AL121</f>
        <v>#REF!</v>
      </c>
    </row>
    <row r="122" spans="2:45" s="50" customFormat="1" ht="47.45" customHeight="1">
      <c r="B122" s="237">
        <v>2</v>
      </c>
      <c r="C122" s="345" t="s">
        <v>894</v>
      </c>
      <c r="D122" s="441">
        <v>1</v>
      </c>
      <c r="E122" s="47"/>
      <c r="F122" s="47"/>
      <c r="G122" s="386">
        <v>1</v>
      </c>
      <c r="H122" s="47">
        <f>G122*AL122</f>
        <v>1100</v>
      </c>
      <c r="I122" s="47"/>
      <c r="J122" s="47"/>
      <c r="K122" s="47"/>
      <c r="L122" s="386">
        <v>1</v>
      </c>
      <c r="M122" s="88"/>
      <c r="N122" s="41" t="s">
        <v>111</v>
      </c>
      <c r="O122" s="41" t="s">
        <v>109</v>
      </c>
      <c r="P122" s="39" t="s">
        <v>446</v>
      </c>
      <c r="Q122" s="41">
        <v>7918129</v>
      </c>
      <c r="R122" s="41"/>
      <c r="S122" s="41"/>
      <c r="T122" s="90" t="s">
        <v>116</v>
      </c>
      <c r="U122" s="39"/>
      <c r="V122" s="39" t="s">
        <v>451</v>
      </c>
      <c r="W122" s="65">
        <v>12538</v>
      </c>
      <c r="X122" s="250"/>
      <c r="Y122" s="65">
        <v>12000</v>
      </c>
      <c r="Z122" s="235"/>
      <c r="AA122" s="65">
        <v>5100</v>
      </c>
      <c r="AB122" s="235"/>
      <c r="AC122" s="221">
        <v>12000</v>
      </c>
      <c r="AD122" s="235"/>
      <c r="AE122" s="235"/>
      <c r="AF122" s="235"/>
      <c r="AG122" s="213">
        <v>3700</v>
      </c>
      <c r="AH122" s="213">
        <v>3498.5740000000001</v>
      </c>
      <c r="AI122" s="422">
        <v>4000</v>
      </c>
      <c r="AJ122" s="47">
        <f t="shared" si="178"/>
        <v>4000</v>
      </c>
      <c r="AK122" s="241">
        <v>4000</v>
      </c>
      <c r="AL122" s="47">
        <f t="shared" si="179"/>
        <v>1100</v>
      </c>
      <c r="AM122" s="43"/>
      <c r="AN122" s="61">
        <v>1100</v>
      </c>
      <c r="AO122" s="43"/>
      <c r="AP122" s="43"/>
      <c r="AQ122" s="47"/>
      <c r="AR122" s="48">
        <f t="shared" si="155"/>
        <v>0</v>
      </c>
      <c r="AS122" s="49" t="e">
        <f>#REF!-AL122</f>
        <v>#REF!</v>
      </c>
    </row>
    <row r="123" spans="2:45" s="50" customFormat="1" ht="81" customHeight="1">
      <c r="B123" s="237">
        <v>3</v>
      </c>
      <c r="C123" s="110" t="s">
        <v>821</v>
      </c>
      <c r="D123" s="441">
        <v>1</v>
      </c>
      <c r="E123" s="47"/>
      <c r="F123" s="47"/>
      <c r="G123" s="386">
        <v>1</v>
      </c>
      <c r="H123" s="47">
        <f>G123*AL123</f>
        <v>1260</v>
      </c>
      <c r="I123" s="47"/>
      <c r="J123" s="47"/>
      <c r="K123" s="47"/>
      <c r="L123" s="386"/>
      <c r="M123" s="88"/>
      <c r="N123" s="39" t="s">
        <v>111</v>
      </c>
      <c r="O123" s="39" t="s">
        <v>109</v>
      </c>
      <c r="P123" s="39" t="s">
        <v>446</v>
      </c>
      <c r="Q123" s="39">
        <v>7877488</v>
      </c>
      <c r="R123" s="39"/>
      <c r="S123" s="39"/>
      <c r="T123" s="39" t="s">
        <v>114</v>
      </c>
      <c r="U123" s="39" t="s">
        <v>822</v>
      </c>
      <c r="V123" s="39" t="s">
        <v>841</v>
      </c>
      <c r="W123" s="68">
        <v>30990</v>
      </c>
      <c r="X123" s="68"/>
      <c r="Y123" s="68">
        <v>30990</v>
      </c>
      <c r="Z123" s="235"/>
      <c r="AA123" s="65">
        <v>19600</v>
      </c>
      <c r="AB123" s="235"/>
      <c r="AC123" s="265"/>
      <c r="AD123" s="235"/>
      <c r="AE123" s="235"/>
      <c r="AF123" s="250">
        <v>12840</v>
      </c>
      <c r="AG123" s="213"/>
      <c r="AH123" s="221"/>
      <c r="AI123" s="422">
        <f>500+5000</f>
        <v>5500</v>
      </c>
      <c r="AJ123" s="47">
        <f t="shared" si="178"/>
        <v>18340</v>
      </c>
      <c r="AK123" s="241">
        <v>1260</v>
      </c>
      <c r="AL123" s="47">
        <f t="shared" si="179"/>
        <v>1260</v>
      </c>
      <c r="AM123" s="43"/>
      <c r="AN123" s="61">
        <v>1260</v>
      </c>
      <c r="AO123" s="43"/>
      <c r="AP123" s="43"/>
      <c r="AQ123" s="47"/>
      <c r="AR123" s="48"/>
      <c r="AS123" s="49"/>
    </row>
    <row r="124" spans="2:45" s="50" customFormat="1" ht="34.5" customHeight="1">
      <c r="B124" s="89"/>
      <c r="C124" s="346" t="s">
        <v>471</v>
      </c>
      <c r="D124" s="247">
        <f t="shared" ref="D124:J124" si="180">D125+D126+D127+D128+D129+D130</f>
        <v>6</v>
      </c>
      <c r="E124" s="43">
        <f t="shared" si="180"/>
        <v>0</v>
      </c>
      <c r="F124" s="43">
        <f t="shared" si="180"/>
        <v>0</v>
      </c>
      <c r="G124" s="43">
        <f t="shared" si="180"/>
        <v>6</v>
      </c>
      <c r="H124" s="43">
        <f t="shared" si="180"/>
        <v>16600</v>
      </c>
      <c r="I124" s="43">
        <f t="shared" si="180"/>
        <v>0</v>
      </c>
      <c r="J124" s="43">
        <f t="shared" si="180"/>
        <v>0</v>
      </c>
      <c r="K124" s="43">
        <f t="shared" ref="K124:M124" si="181">SUM(K125:K130)</f>
        <v>0</v>
      </c>
      <c r="L124" s="43">
        <f t="shared" si="181"/>
        <v>6</v>
      </c>
      <c r="M124" s="246">
        <f t="shared" si="181"/>
        <v>0</v>
      </c>
      <c r="N124" s="39"/>
      <c r="O124" s="39"/>
      <c r="P124" s="39"/>
      <c r="Q124" s="39"/>
      <c r="R124" s="39"/>
      <c r="S124" s="39"/>
      <c r="T124" s="39"/>
      <c r="U124" s="39"/>
      <c r="V124" s="39"/>
      <c r="W124" s="43">
        <f>W125+W126+W127+W128+W129+W130</f>
        <v>92809</v>
      </c>
      <c r="X124" s="235">
        <f t="shared" ref="X124" si="182">SUM(X125:X130)</f>
        <v>0</v>
      </c>
      <c r="Y124" s="43">
        <f t="shared" ref="Y124:AP124" si="183">Y125+Y126+Y127+Y128+Y129+Y130</f>
        <v>86650</v>
      </c>
      <c r="Z124" s="43">
        <f t="shared" si="183"/>
        <v>0</v>
      </c>
      <c r="AA124" s="43">
        <f t="shared" si="183"/>
        <v>80405</v>
      </c>
      <c r="AB124" s="235">
        <f t="shared" si="183"/>
        <v>0</v>
      </c>
      <c r="AC124" s="235">
        <f t="shared" si="183"/>
        <v>82730.5</v>
      </c>
      <c r="AD124" s="235">
        <f t="shared" si="183"/>
        <v>0</v>
      </c>
      <c r="AE124" s="235">
        <f t="shared" si="183"/>
        <v>0</v>
      </c>
      <c r="AF124" s="235">
        <f t="shared" si="183"/>
        <v>29500</v>
      </c>
      <c r="AG124" s="235">
        <f t="shared" si="183"/>
        <v>24940</v>
      </c>
      <c r="AH124" s="235">
        <f t="shared" si="183"/>
        <v>11009.615000000002</v>
      </c>
      <c r="AI124" s="235">
        <f t="shared" si="183"/>
        <v>29549</v>
      </c>
      <c r="AJ124" s="43">
        <f t="shared" si="183"/>
        <v>59049</v>
      </c>
      <c r="AK124" s="235">
        <f t="shared" si="183"/>
        <v>39400</v>
      </c>
      <c r="AL124" s="43">
        <f t="shared" si="183"/>
        <v>16600</v>
      </c>
      <c r="AM124" s="43">
        <f t="shared" si="183"/>
        <v>0</v>
      </c>
      <c r="AN124" s="43">
        <f t="shared" si="183"/>
        <v>16600</v>
      </c>
      <c r="AO124" s="43">
        <f t="shared" si="183"/>
        <v>0</v>
      </c>
      <c r="AP124" s="43">
        <f t="shared" si="183"/>
        <v>0</v>
      </c>
      <c r="AQ124" s="47"/>
      <c r="AR124" s="48">
        <f t="shared" ref="AR124:AR155" si="184">AA124-(AF124+AI124+AL124)</f>
        <v>4756</v>
      </c>
      <c r="AS124" s="49" t="e">
        <f>#REF!-AL124</f>
        <v>#REF!</v>
      </c>
    </row>
    <row r="125" spans="2:45" s="50" customFormat="1" ht="85.5" customHeight="1">
      <c r="B125" s="88">
        <v>1</v>
      </c>
      <c r="C125" s="125" t="s">
        <v>895</v>
      </c>
      <c r="D125" s="93">
        <v>1</v>
      </c>
      <c r="E125" s="47"/>
      <c r="F125" s="47"/>
      <c r="G125" s="47">
        <v>1</v>
      </c>
      <c r="H125" s="47">
        <f t="shared" ref="H125:H130" si="185">G125*AL125</f>
        <v>1700</v>
      </c>
      <c r="I125" s="47"/>
      <c r="J125" s="47"/>
      <c r="K125" s="47"/>
      <c r="L125" s="47">
        <v>1</v>
      </c>
      <c r="M125" s="88"/>
      <c r="N125" s="39" t="s">
        <v>108</v>
      </c>
      <c r="O125" s="39" t="s">
        <v>480</v>
      </c>
      <c r="P125" s="39" t="s">
        <v>474</v>
      </c>
      <c r="Q125" s="103">
        <v>7891852</v>
      </c>
      <c r="R125" s="39"/>
      <c r="S125" s="39"/>
      <c r="T125" s="103" t="s">
        <v>114</v>
      </c>
      <c r="U125" s="39"/>
      <c r="V125" s="39" t="s">
        <v>823</v>
      </c>
      <c r="W125" s="47">
        <v>9879</v>
      </c>
      <c r="X125" s="120"/>
      <c r="Y125" s="47">
        <v>9879</v>
      </c>
      <c r="Z125" s="235"/>
      <c r="AA125" s="47">
        <v>9800</v>
      </c>
      <c r="AB125" s="235"/>
      <c r="AC125" s="120">
        <v>9879</v>
      </c>
      <c r="AD125" s="235"/>
      <c r="AE125" s="235"/>
      <c r="AF125" s="218">
        <v>1500</v>
      </c>
      <c r="AG125" s="250">
        <f>1500+2500</f>
        <v>4000</v>
      </c>
      <c r="AH125" s="213">
        <v>3946.7020000000002</v>
      </c>
      <c r="AI125" s="250">
        <v>5344</v>
      </c>
      <c r="AJ125" s="47">
        <f t="shared" ref="AJ125:AJ130" si="186">AF125+AI125</f>
        <v>6844</v>
      </c>
      <c r="AK125" s="120">
        <v>6800</v>
      </c>
      <c r="AL125" s="47">
        <f t="shared" ref="AL125:AL130" si="187">AM125+AN125+AO125</f>
        <v>1700</v>
      </c>
      <c r="AM125" s="43"/>
      <c r="AN125" s="47">
        <v>1700</v>
      </c>
      <c r="AO125" s="43"/>
      <c r="AP125" s="43"/>
      <c r="AQ125" s="47"/>
      <c r="AR125" s="48">
        <f t="shared" si="184"/>
        <v>1256</v>
      </c>
      <c r="AS125" s="49" t="e">
        <f>#REF!-AL125</f>
        <v>#REF!</v>
      </c>
    </row>
    <row r="126" spans="2:45" s="50" customFormat="1" ht="85.5" customHeight="1">
      <c r="B126" s="88">
        <f t="shared" ref="B126:B129" si="188">B125+1</f>
        <v>2</v>
      </c>
      <c r="C126" s="125" t="s">
        <v>896</v>
      </c>
      <c r="D126" s="93">
        <v>1</v>
      </c>
      <c r="E126" s="47"/>
      <c r="F126" s="47"/>
      <c r="G126" s="47">
        <v>1</v>
      </c>
      <c r="H126" s="47">
        <f t="shared" si="185"/>
        <v>2000</v>
      </c>
      <c r="I126" s="47"/>
      <c r="J126" s="47"/>
      <c r="K126" s="47"/>
      <c r="L126" s="47">
        <v>1</v>
      </c>
      <c r="M126" s="88"/>
      <c r="N126" s="39" t="s">
        <v>108</v>
      </c>
      <c r="O126" s="39" t="s">
        <v>480</v>
      </c>
      <c r="P126" s="39" t="s">
        <v>474</v>
      </c>
      <c r="Q126" s="103">
        <v>7891853</v>
      </c>
      <c r="R126" s="39"/>
      <c r="S126" s="39"/>
      <c r="T126" s="103" t="s">
        <v>114</v>
      </c>
      <c r="U126" s="39"/>
      <c r="V126" s="39" t="s">
        <v>824</v>
      </c>
      <c r="W126" s="47">
        <v>8461</v>
      </c>
      <c r="X126" s="120"/>
      <c r="Y126" s="47">
        <v>8461</v>
      </c>
      <c r="Z126" s="235"/>
      <c r="AA126" s="47">
        <v>8230</v>
      </c>
      <c r="AB126" s="235"/>
      <c r="AC126" s="120">
        <v>8461</v>
      </c>
      <c r="AD126" s="235"/>
      <c r="AE126" s="235"/>
      <c r="AF126" s="218">
        <v>1500</v>
      </c>
      <c r="AG126" s="250">
        <f>1500+1500</f>
        <v>3000</v>
      </c>
      <c r="AH126" s="213">
        <v>2201.4769999999999</v>
      </c>
      <c r="AI126" s="250">
        <v>3500</v>
      </c>
      <c r="AJ126" s="47">
        <f t="shared" si="186"/>
        <v>5000</v>
      </c>
      <c r="AK126" s="120">
        <v>5400</v>
      </c>
      <c r="AL126" s="47">
        <f t="shared" si="187"/>
        <v>2000</v>
      </c>
      <c r="AM126" s="43"/>
      <c r="AN126" s="47">
        <v>2000</v>
      </c>
      <c r="AO126" s="43"/>
      <c r="AP126" s="43"/>
      <c r="AQ126" s="47"/>
      <c r="AR126" s="48">
        <f t="shared" si="184"/>
        <v>1230</v>
      </c>
      <c r="AS126" s="49" t="e">
        <f>#REF!-AL126</f>
        <v>#REF!</v>
      </c>
    </row>
    <row r="127" spans="2:45" s="50" customFormat="1" ht="62.1" customHeight="1">
      <c r="B127" s="88">
        <f t="shared" si="188"/>
        <v>3</v>
      </c>
      <c r="C127" s="125" t="s">
        <v>897</v>
      </c>
      <c r="D127" s="93">
        <v>1</v>
      </c>
      <c r="E127" s="47"/>
      <c r="F127" s="47"/>
      <c r="G127" s="47">
        <v>1</v>
      </c>
      <c r="H127" s="47">
        <f t="shared" si="185"/>
        <v>5000</v>
      </c>
      <c r="I127" s="47"/>
      <c r="J127" s="47"/>
      <c r="K127" s="47"/>
      <c r="L127" s="47">
        <v>1</v>
      </c>
      <c r="M127" s="88"/>
      <c r="N127" s="39" t="s">
        <v>108</v>
      </c>
      <c r="O127" s="39" t="s">
        <v>480</v>
      </c>
      <c r="P127" s="39" t="s">
        <v>474</v>
      </c>
      <c r="Q127" s="103">
        <v>7891855</v>
      </c>
      <c r="R127" s="39"/>
      <c r="S127" s="39"/>
      <c r="T127" s="103" t="s">
        <v>114</v>
      </c>
      <c r="U127" s="39"/>
      <c r="V127" s="39" t="s">
        <v>475</v>
      </c>
      <c r="W127" s="47">
        <v>19549</v>
      </c>
      <c r="X127" s="120"/>
      <c r="Y127" s="47">
        <v>19549</v>
      </c>
      <c r="Z127" s="235"/>
      <c r="AA127" s="47">
        <v>15000</v>
      </c>
      <c r="AB127" s="235"/>
      <c r="AC127" s="120">
        <f>Y127*0.9</f>
        <v>17594.100000000002</v>
      </c>
      <c r="AD127" s="235"/>
      <c r="AE127" s="235"/>
      <c r="AF127" s="218">
        <v>5000</v>
      </c>
      <c r="AG127" s="250">
        <f>1500+1500+2000</f>
        <v>5000</v>
      </c>
      <c r="AH127" s="213">
        <v>2347.6529999999998</v>
      </c>
      <c r="AI127" s="218">
        <v>5000</v>
      </c>
      <c r="AJ127" s="47">
        <f t="shared" si="186"/>
        <v>10000</v>
      </c>
      <c r="AK127" s="120">
        <v>11500</v>
      </c>
      <c r="AL127" s="47">
        <f t="shared" si="187"/>
        <v>5000</v>
      </c>
      <c r="AM127" s="43"/>
      <c r="AN127" s="47">
        <v>5000</v>
      </c>
      <c r="AO127" s="43"/>
      <c r="AP127" s="43"/>
      <c r="AQ127" s="47"/>
      <c r="AR127" s="48">
        <f t="shared" si="184"/>
        <v>0</v>
      </c>
      <c r="AS127" s="49" t="e">
        <f>#REF!-AL127</f>
        <v>#REF!</v>
      </c>
    </row>
    <row r="128" spans="2:45" s="50" customFormat="1" ht="62.1" customHeight="1">
      <c r="B128" s="88">
        <f t="shared" si="188"/>
        <v>4</v>
      </c>
      <c r="C128" s="102" t="s">
        <v>898</v>
      </c>
      <c r="D128" s="93">
        <v>1</v>
      </c>
      <c r="E128" s="47"/>
      <c r="F128" s="47"/>
      <c r="G128" s="47">
        <v>1</v>
      </c>
      <c r="H128" s="47">
        <f t="shared" si="185"/>
        <v>2800</v>
      </c>
      <c r="I128" s="47"/>
      <c r="J128" s="47"/>
      <c r="K128" s="47"/>
      <c r="L128" s="47">
        <v>1</v>
      </c>
      <c r="M128" s="88"/>
      <c r="N128" s="39" t="s">
        <v>108</v>
      </c>
      <c r="O128" s="39" t="s">
        <v>480</v>
      </c>
      <c r="P128" s="39" t="s">
        <v>474</v>
      </c>
      <c r="Q128" s="39"/>
      <c r="R128" s="39"/>
      <c r="S128" s="39"/>
      <c r="T128" s="39" t="s">
        <v>114</v>
      </c>
      <c r="U128" s="39"/>
      <c r="V128" s="39" t="s">
        <v>476</v>
      </c>
      <c r="W128" s="68">
        <v>13670</v>
      </c>
      <c r="X128" s="250"/>
      <c r="Y128" s="68">
        <v>14940</v>
      </c>
      <c r="Z128" s="235"/>
      <c r="AA128" s="68">
        <v>13600</v>
      </c>
      <c r="AB128" s="235"/>
      <c r="AC128" s="250">
        <v>14940</v>
      </c>
      <c r="AD128" s="235"/>
      <c r="AE128" s="235"/>
      <c r="AF128" s="250">
        <v>5500</v>
      </c>
      <c r="AG128" s="250">
        <v>4000</v>
      </c>
      <c r="AH128" s="120">
        <v>4</v>
      </c>
      <c r="AI128" s="250">
        <v>4000</v>
      </c>
      <c r="AJ128" s="47">
        <f t="shared" si="186"/>
        <v>9500</v>
      </c>
      <c r="AK128" s="120">
        <v>6000</v>
      </c>
      <c r="AL128" s="47">
        <f t="shared" si="187"/>
        <v>2800</v>
      </c>
      <c r="AM128" s="43"/>
      <c r="AN128" s="47">
        <v>2800</v>
      </c>
      <c r="AO128" s="43"/>
      <c r="AP128" s="43"/>
      <c r="AQ128" s="47"/>
      <c r="AR128" s="48">
        <f t="shared" si="184"/>
        <v>1300</v>
      </c>
      <c r="AS128" s="49" t="e">
        <f>#REF!-AL128</f>
        <v>#REF!</v>
      </c>
    </row>
    <row r="129" spans="2:45" s="50" customFormat="1" ht="62.1" customHeight="1">
      <c r="B129" s="88">
        <f t="shared" si="188"/>
        <v>5</v>
      </c>
      <c r="C129" s="102" t="s">
        <v>899</v>
      </c>
      <c r="D129" s="93">
        <v>1</v>
      </c>
      <c r="E129" s="47"/>
      <c r="F129" s="47"/>
      <c r="G129" s="47">
        <v>1</v>
      </c>
      <c r="H129" s="47">
        <f t="shared" si="185"/>
        <v>2200</v>
      </c>
      <c r="I129" s="47"/>
      <c r="J129" s="47"/>
      <c r="K129" s="47"/>
      <c r="L129" s="47">
        <v>1</v>
      </c>
      <c r="M129" s="88"/>
      <c r="N129" s="39" t="s">
        <v>108</v>
      </c>
      <c r="O129" s="39" t="s">
        <v>480</v>
      </c>
      <c r="P129" s="39" t="s">
        <v>474</v>
      </c>
      <c r="Q129" s="39"/>
      <c r="R129" s="39"/>
      <c r="S129" s="39"/>
      <c r="T129" s="39" t="s">
        <v>114</v>
      </c>
      <c r="U129" s="39"/>
      <c r="V129" s="39" t="s">
        <v>477</v>
      </c>
      <c r="W129" s="68">
        <v>19681</v>
      </c>
      <c r="X129" s="250"/>
      <c r="Y129" s="68">
        <v>14175</v>
      </c>
      <c r="Z129" s="235"/>
      <c r="AA129" s="68">
        <v>14175</v>
      </c>
      <c r="AB129" s="235"/>
      <c r="AC129" s="250">
        <v>14175</v>
      </c>
      <c r="AD129" s="235"/>
      <c r="AE129" s="235"/>
      <c r="AF129" s="250">
        <v>7000</v>
      </c>
      <c r="AG129" s="250">
        <f>4000+940</f>
        <v>4940</v>
      </c>
      <c r="AH129" s="425">
        <v>555.77800000000002</v>
      </c>
      <c r="AI129" s="250">
        <f>4000+940</f>
        <v>4940</v>
      </c>
      <c r="AJ129" s="47">
        <f t="shared" si="186"/>
        <v>11940</v>
      </c>
      <c r="AK129" s="120">
        <v>3100</v>
      </c>
      <c r="AL129" s="47">
        <f t="shared" si="187"/>
        <v>2200</v>
      </c>
      <c r="AM129" s="43"/>
      <c r="AN129" s="47">
        <v>2200</v>
      </c>
      <c r="AO129" s="43"/>
      <c r="AP129" s="43"/>
      <c r="AQ129" s="47"/>
      <c r="AR129" s="48">
        <f t="shared" si="184"/>
        <v>35</v>
      </c>
      <c r="AS129" s="49" t="e">
        <f>#REF!-AL129</f>
        <v>#REF!</v>
      </c>
    </row>
    <row r="130" spans="2:45" s="50" customFormat="1" ht="62.1" customHeight="1">
      <c r="B130" s="88">
        <v>6</v>
      </c>
      <c r="C130" s="102" t="s">
        <v>900</v>
      </c>
      <c r="D130" s="93">
        <v>1</v>
      </c>
      <c r="E130" s="47"/>
      <c r="F130" s="47"/>
      <c r="G130" s="47">
        <v>1</v>
      </c>
      <c r="H130" s="47">
        <f t="shared" si="185"/>
        <v>2900</v>
      </c>
      <c r="I130" s="47"/>
      <c r="J130" s="47"/>
      <c r="K130" s="47"/>
      <c r="L130" s="47">
        <v>1</v>
      </c>
      <c r="M130" s="88"/>
      <c r="N130" s="39" t="s">
        <v>108</v>
      </c>
      <c r="O130" s="39" t="s">
        <v>480</v>
      </c>
      <c r="P130" s="39" t="s">
        <v>474</v>
      </c>
      <c r="Q130" s="39"/>
      <c r="R130" s="39"/>
      <c r="S130" s="39"/>
      <c r="T130" s="39" t="s">
        <v>478</v>
      </c>
      <c r="U130" s="39"/>
      <c r="V130" s="39" t="s">
        <v>479</v>
      </c>
      <c r="W130" s="68">
        <v>21569</v>
      </c>
      <c r="X130" s="250"/>
      <c r="Y130" s="68">
        <v>19646</v>
      </c>
      <c r="Z130" s="235"/>
      <c r="AA130" s="68">
        <v>19600</v>
      </c>
      <c r="AB130" s="235"/>
      <c r="AC130" s="250">
        <f>Y130*0.9</f>
        <v>17681.400000000001</v>
      </c>
      <c r="AD130" s="235"/>
      <c r="AE130" s="235"/>
      <c r="AF130" s="250">
        <v>9000</v>
      </c>
      <c r="AG130" s="250">
        <v>4000</v>
      </c>
      <c r="AH130" s="213">
        <v>1954.0050000000001</v>
      </c>
      <c r="AI130" s="250">
        <f>4000+2765</f>
        <v>6765</v>
      </c>
      <c r="AJ130" s="47">
        <f t="shared" si="186"/>
        <v>15765</v>
      </c>
      <c r="AK130" s="120">
        <v>6600</v>
      </c>
      <c r="AL130" s="47">
        <f t="shared" si="187"/>
        <v>2900</v>
      </c>
      <c r="AM130" s="43"/>
      <c r="AN130" s="47">
        <v>2900</v>
      </c>
      <c r="AO130" s="43"/>
      <c r="AP130" s="43"/>
      <c r="AQ130" s="47"/>
      <c r="AR130" s="48">
        <f t="shared" si="184"/>
        <v>935</v>
      </c>
      <c r="AS130" s="49" t="e">
        <f>#REF!-AL130</f>
        <v>#REF!</v>
      </c>
    </row>
    <row r="131" spans="2:45" s="50" customFormat="1" ht="37.5" customHeight="1">
      <c r="B131" s="36" t="s">
        <v>163</v>
      </c>
      <c r="C131" s="346" t="s">
        <v>174</v>
      </c>
      <c r="D131" s="247">
        <f t="shared" ref="D131:J131" si="189">D132+D140</f>
        <v>67</v>
      </c>
      <c r="E131" s="43">
        <f t="shared" si="189"/>
        <v>0</v>
      </c>
      <c r="F131" s="43">
        <f t="shared" si="189"/>
        <v>0</v>
      </c>
      <c r="G131" s="43">
        <f t="shared" si="189"/>
        <v>0</v>
      </c>
      <c r="H131" s="43">
        <f t="shared" si="189"/>
        <v>0</v>
      </c>
      <c r="I131" s="43">
        <f t="shared" si="189"/>
        <v>67</v>
      </c>
      <c r="J131" s="43">
        <f t="shared" si="189"/>
        <v>366100</v>
      </c>
      <c r="K131" s="43">
        <f t="shared" ref="K131:M131" si="190">K132+K140</f>
        <v>0</v>
      </c>
      <c r="L131" s="43">
        <f t="shared" si="190"/>
        <v>55</v>
      </c>
      <c r="M131" s="246">
        <f t="shared" si="190"/>
        <v>0</v>
      </c>
      <c r="N131" s="39"/>
      <c r="O131" s="39"/>
      <c r="P131" s="39"/>
      <c r="Q131" s="39"/>
      <c r="R131" s="39"/>
      <c r="S131" s="39"/>
      <c r="T131" s="39"/>
      <c r="U131" s="39"/>
      <c r="V131" s="39"/>
      <c r="W131" s="43">
        <f t="shared" ref="W131" si="191">W132+W140</f>
        <v>1852253.436</v>
      </c>
      <c r="X131" s="235">
        <f t="shared" ref="X131" si="192">X132+X140</f>
        <v>0</v>
      </c>
      <c r="Y131" s="43">
        <f t="shared" ref="Y131" si="193">Y132+Y140</f>
        <v>1733320.3628</v>
      </c>
      <c r="Z131" s="235">
        <f t="shared" ref="Z131" si="194">Z132+Z140</f>
        <v>0</v>
      </c>
      <c r="AA131" s="43">
        <f t="shared" ref="AA131" si="195">AA132+AA140</f>
        <v>1255553.3</v>
      </c>
      <c r="AB131" s="235">
        <f t="shared" ref="AB131" si="196">AB132+AB140</f>
        <v>0</v>
      </c>
      <c r="AC131" s="235">
        <f t="shared" ref="AC131" si="197">AC132+AC140</f>
        <v>1570925.37882</v>
      </c>
      <c r="AD131" s="235">
        <f t="shared" ref="AD131" si="198">AD132+AD140</f>
        <v>0</v>
      </c>
      <c r="AE131" s="235">
        <f t="shared" ref="AE131" si="199">AE132+AE140</f>
        <v>0</v>
      </c>
      <c r="AF131" s="235">
        <f t="shared" ref="AF131" si="200">AF132+AF140</f>
        <v>97365.926999999996</v>
      </c>
      <c r="AG131" s="235">
        <f t="shared" ref="AG131" si="201">AG132+AG140</f>
        <v>268339</v>
      </c>
      <c r="AH131" s="235">
        <f t="shared" ref="AH131" si="202">AH132+AH140</f>
        <v>78366.135999999984</v>
      </c>
      <c r="AI131" s="235">
        <f t="shared" ref="AI131:AJ131" si="203">AI132+AI140</f>
        <v>308734</v>
      </c>
      <c r="AJ131" s="43">
        <f t="shared" si="203"/>
        <v>406099.92700000003</v>
      </c>
      <c r="AK131" s="235">
        <f t="shared" ref="AK131" si="204">AK132+AK140</f>
        <v>762709</v>
      </c>
      <c r="AL131" s="43">
        <f t="shared" ref="AL131" si="205">AL132+AL140</f>
        <v>366100</v>
      </c>
      <c r="AM131" s="43">
        <f t="shared" ref="AM131" si="206">AM132+AM140</f>
        <v>0</v>
      </c>
      <c r="AN131" s="43">
        <f t="shared" ref="AN131" si="207">AN132+AN140</f>
        <v>366100</v>
      </c>
      <c r="AO131" s="43">
        <f t="shared" ref="AO131" si="208">AO132+AO140</f>
        <v>0</v>
      </c>
      <c r="AP131" s="43"/>
      <c r="AQ131" s="47"/>
      <c r="AR131" s="48">
        <f t="shared" si="184"/>
        <v>483353.37300000002</v>
      </c>
      <c r="AS131" s="49" t="e">
        <f>#REF!-AL131</f>
        <v>#REF!</v>
      </c>
    </row>
    <row r="132" spans="2:45" s="244" customFormat="1" ht="20.45" customHeight="1">
      <c r="B132" s="129" t="s">
        <v>189</v>
      </c>
      <c r="C132" s="352" t="s">
        <v>107</v>
      </c>
      <c r="D132" s="439">
        <f t="shared" ref="D132:J132" si="209">D133+D135+D137</f>
        <v>4</v>
      </c>
      <c r="E132" s="69">
        <f t="shared" si="209"/>
        <v>0</v>
      </c>
      <c r="F132" s="69">
        <f t="shared" si="209"/>
        <v>0</v>
      </c>
      <c r="G132" s="69">
        <f t="shared" si="209"/>
        <v>0</v>
      </c>
      <c r="H132" s="69">
        <f t="shared" si="209"/>
        <v>0</v>
      </c>
      <c r="I132" s="69">
        <f t="shared" si="209"/>
        <v>4</v>
      </c>
      <c r="J132" s="69">
        <f t="shared" si="209"/>
        <v>38000</v>
      </c>
      <c r="K132" s="69">
        <f t="shared" ref="K132:M132" si="210">K133+K135+K137</f>
        <v>0</v>
      </c>
      <c r="L132" s="69">
        <f t="shared" si="210"/>
        <v>4</v>
      </c>
      <c r="M132" s="273">
        <f t="shared" si="210"/>
        <v>0</v>
      </c>
      <c r="N132" s="245"/>
      <c r="O132" s="245"/>
      <c r="P132" s="245"/>
      <c r="Q132" s="245"/>
      <c r="R132" s="245"/>
      <c r="S132" s="245"/>
      <c r="T132" s="245"/>
      <c r="U132" s="245"/>
      <c r="V132" s="245"/>
      <c r="W132" s="69">
        <f t="shared" ref="W132:AP132" si="211">W133+W135+W137</f>
        <v>245784.05300000001</v>
      </c>
      <c r="X132" s="236">
        <f t="shared" si="211"/>
        <v>0</v>
      </c>
      <c r="Y132" s="69">
        <f t="shared" si="211"/>
        <v>224938.05300000001</v>
      </c>
      <c r="Z132" s="236">
        <f t="shared" si="211"/>
        <v>0</v>
      </c>
      <c r="AA132" s="69">
        <f t="shared" si="211"/>
        <v>148390</v>
      </c>
      <c r="AB132" s="236">
        <f t="shared" si="211"/>
        <v>0</v>
      </c>
      <c r="AC132" s="236">
        <f t="shared" si="211"/>
        <v>202390.39999999999</v>
      </c>
      <c r="AD132" s="236">
        <f t="shared" si="211"/>
        <v>0</v>
      </c>
      <c r="AE132" s="236">
        <f t="shared" si="211"/>
        <v>0</v>
      </c>
      <c r="AF132" s="236">
        <f t="shared" si="211"/>
        <v>0</v>
      </c>
      <c r="AG132" s="236">
        <f t="shared" si="211"/>
        <v>25400</v>
      </c>
      <c r="AH132" s="236">
        <f t="shared" si="211"/>
        <v>524.27200000000005</v>
      </c>
      <c r="AI132" s="236">
        <f t="shared" si="211"/>
        <v>26400</v>
      </c>
      <c r="AJ132" s="69">
        <f t="shared" ref="AJ132" si="212">AJ133+AJ135+AJ137</f>
        <v>26400</v>
      </c>
      <c r="AK132" s="236">
        <f t="shared" si="211"/>
        <v>137500</v>
      </c>
      <c r="AL132" s="69">
        <f t="shared" si="211"/>
        <v>38000</v>
      </c>
      <c r="AM132" s="69">
        <f t="shared" si="211"/>
        <v>0</v>
      </c>
      <c r="AN132" s="69">
        <f t="shared" si="211"/>
        <v>38000</v>
      </c>
      <c r="AO132" s="69">
        <f t="shared" si="211"/>
        <v>0</v>
      </c>
      <c r="AP132" s="69">
        <f t="shared" si="211"/>
        <v>0</v>
      </c>
      <c r="AQ132" s="69"/>
      <c r="AR132" s="131">
        <f t="shared" si="184"/>
        <v>83990</v>
      </c>
      <c r="AS132" s="132" t="e">
        <f>#REF!-AL132</f>
        <v>#REF!</v>
      </c>
    </row>
    <row r="133" spans="2:45" s="72" customFormat="1" ht="19.5" customHeight="1">
      <c r="B133" s="36"/>
      <c r="C133" s="346" t="s">
        <v>191</v>
      </c>
      <c r="D133" s="247">
        <f t="shared" ref="D133:J133" si="213">D134</f>
        <v>1</v>
      </c>
      <c r="E133" s="43">
        <f t="shared" si="213"/>
        <v>0</v>
      </c>
      <c r="F133" s="43">
        <f t="shared" si="213"/>
        <v>0</v>
      </c>
      <c r="G133" s="43">
        <f t="shared" si="213"/>
        <v>0</v>
      </c>
      <c r="H133" s="43">
        <f t="shared" si="213"/>
        <v>0</v>
      </c>
      <c r="I133" s="43">
        <f t="shared" si="213"/>
        <v>1</v>
      </c>
      <c r="J133" s="43">
        <f t="shared" si="213"/>
        <v>15000</v>
      </c>
      <c r="K133" s="43">
        <f t="shared" ref="K133:M133" si="214">K134</f>
        <v>0</v>
      </c>
      <c r="L133" s="43">
        <f t="shared" si="214"/>
        <v>1</v>
      </c>
      <c r="M133" s="246">
        <f t="shared" si="214"/>
        <v>0</v>
      </c>
      <c r="N133" s="80"/>
      <c r="O133" s="80"/>
      <c r="P133" s="80"/>
      <c r="Q133" s="80"/>
      <c r="R133" s="80"/>
      <c r="S133" s="80"/>
      <c r="T133" s="80"/>
      <c r="U133" s="80"/>
      <c r="V133" s="80"/>
      <c r="W133" s="43">
        <f t="shared" ref="W133:AP133" si="215">W134</f>
        <v>53282.053</v>
      </c>
      <c r="X133" s="235">
        <f t="shared" ref="X133" si="216">X134</f>
        <v>0</v>
      </c>
      <c r="Y133" s="43">
        <f t="shared" si="215"/>
        <v>53282.053</v>
      </c>
      <c r="Z133" s="43">
        <f t="shared" si="215"/>
        <v>0</v>
      </c>
      <c r="AA133" s="43">
        <f t="shared" si="215"/>
        <v>47900</v>
      </c>
      <c r="AB133" s="235">
        <f t="shared" si="215"/>
        <v>0</v>
      </c>
      <c r="AC133" s="235">
        <f t="shared" si="215"/>
        <v>47900</v>
      </c>
      <c r="AD133" s="235">
        <f t="shared" si="215"/>
        <v>0</v>
      </c>
      <c r="AE133" s="235">
        <f t="shared" si="215"/>
        <v>0</v>
      </c>
      <c r="AF133" s="235">
        <f t="shared" si="215"/>
        <v>0</v>
      </c>
      <c r="AG133" s="235">
        <f t="shared" si="215"/>
        <v>10000</v>
      </c>
      <c r="AH133" s="235">
        <f t="shared" si="215"/>
        <v>0</v>
      </c>
      <c r="AI133" s="235">
        <f t="shared" si="215"/>
        <v>10000</v>
      </c>
      <c r="AJ133" s="43">
        <f t="shared" si="215"/>
        <v>10000</v>
      </c>
      <c r="AK133" s="235">
        <f t="shared" si="215"/>
        <v>20000</v>
      </c>
      <c r="AL133" s="43">
        <f t="shared" si="215"/>
        <v>15000</v>
      </c>
      <c r="AM133" s="43">
        <f t="shared" si="215"/>
        <v>0</v>
      </c>
      <c r="AN133" s="43">
        <f t="shared" si="215"/>
        <v>15000</v>
      </c>
      <c r="AO133" s="43">
        <f t="shared" si="215"/>
        <v>0</v>
      </c>
      <c r="AP133" s="43">
        <f t="shared" si="215"/>
        <v>0</v>
      </c>
      <c r="AQ133" s="43"/>
      <c r="AR133" s="48">
        <f t="shared" si="184"/>
        <v>22900</v>
      </c>
      <c r="AS133" s="49" t="e">
        <f>#REF!-AL133</f>
        <v>#REF!</v>
      </c>
    </row>
    <row r="134" spans="2:45" s="50" customFormat="1" ht="45">
      <c r="B134" s="237">
        <v>1</v>
      </c>
      <c r="C134" s="102" t="s">
        <v>902</v>
      </c>
      <c r="D134" s="93">
        <v>1</v>
      </c>
      <c r="E134" s="47"/>
      <c r="F134" s="47"/>
      <c r="G134" s="47"/>
      <c r="H134" s="47"/>
      <c r="I134" s="47">
        <v>1</v>
      </c>
      <c r="J134" s="47">
        <f>I134*AL134</f>
        <v>15000</v>
      </c>
      <c r="K134" s="47"/>
      <c r="L134" s="47">
        <v>1</v>
      </c>
      <c r="M134" s="88"/>
      <c r="N134" s="41" t="s">
        <v>192</v>
      </c>
      <c r="O134" s="41" t="s">
        <v>109</v>
      </c>
      <c r="P134" s="39" t="s">
        <v>193</v>
      </c>
      <c r="Q134" s="41">
        <v>7936025</v>
      </c>
      <c r="R134" s="41"/>
      <c r="S134" s="41"/>
      <c r="T134" s="41" t="s">
        <v>115</v>
      </c>
      <c r="U134" s="39"/>
      <c r="V134" s="41" t="s">
        <v>901</v>
      </c>
      <c r="W134" s="68">
        <v>53282.053</v>
      </c>
      <c r="X134" s="250"/>
      <c r="Y134" s="68">
        <v>53282.053</v>
      </c>
      <c r="Z134" s="235"/>
      <c r="AA134" s="47">
        <v>47900</v>
      </c>
      <c r="AB134" s="235"/>
      <c r="AC134" s="120">
        <v>47900</v>
      </c>
      <c r="AD134" s="235"/>
      <c r="AE134" s="235"/>
      <c r="AF134" s="235"/>
      <c r="AG134" s="250">
        <f>10000</f>
        <v>10000</v>
      </c>
      <c r="AH134" s="235"/>
      <c r="AI134" s="250">
        <f>10000</f>
        <v>10000</v>
      </c>
      <c r="AJ134" s="47">
        <f>AF134+AI134</f>
        <v>10000</v>
      </c>
      <c r="AK134" s="120">
        <v>20000</v>
      </c>
      <c r="AL134" s="47">
        <f t="shared" ref="AL134" si="217">AM134+AN134+AO134</f>
        <v>15000</v>
      </c>
      <c r="AM134" s="43"/>
      <c r="AN134" s="47">
        <v>15000</v>
      </c>
      <c r="AO134" s="43"/>
      <c r="AP134" s="43"/>
      <c r="AQ134" s="47"/>
      <c r="AR134" s="48">
        <f t="shared" si="184"/>
        <v>22900</v>
      </c>
      <c r="AS134" s="49" t="e">
        <f>#REF!-AL134</f>
        <v>#REF!</v>
      </c>
    </row>
    <row r="135" spans="2:45" s="72" customFormat="1" ht="17.45" customHeight="1">
      <c r="B135" s="36"/>
      <c r="C135" s="346" t="s">
        <v>361</v>
      </c>
      <c r="D135" s="247">
        <f t="shared" ref="D135:J135" si="218">D136</f>
        <v>1</v>
      </c>
      <c r="E135" s="43">
        <f t="shared" si="218"/>
        <v>0</v>
      </c>
      <c r="F135" s="43">
        <f t="shared" si="218"/>
        <v>0</v>
      </c>
      <c r="G135" s="43">
        <f t="shared" si="218"/>
        <v>0</v>
      </c>
      <c r="H135" s="43">
        <f t="shared" si="218"/>
        <v>0</v>
      </c>
      <c r="I135" s="43">
        <f t="shared" si="218"/>
        <v>1</v>
      </c>
      <c r="J135" s="43">
        <f t="shared" si="218"/>
        <v>15000</v>
      </c>
      <c r="K135" s="43">
        <f t="shared" ref="K135:M135" si="219">K136</f>
        <v>0</v>
      </c>
      <c r="L135" s="43">
        <f t="shared" si="219"/>
        <v>1</v>
      </c>
      <c r="M135" s="246">
        <f t="shared" si="219"/>
        <v>0</v>
      </c>
      <c r="N135" s="80"/>
      <c r="O135" s="80"/>
      <c r="P135" s="80"/>
      <c r="Q135" s="80"/>
      <c r="R135" s="80"/>
      <c r="S135" s="80"/>
      <c r="T135" s="80"/>
      <c r="U135" s="80"/>
      <c r="V135" s="80"/>
      <c r="W135" s="43">
        <f>W136</f>
        <v>52305</v>
      </c>
      <c r="X135" s="235">
        <f t="shared" ref="X135:AP135" si="220">X136</f>
        <v>0</v>
      </c>
      <c r="Y135" s="43">
        <f t="shared" si="220"/>
        <v>50656</v>
      </c>
      <c r="Z135" s="43">
        <f t="shared" si="220"/>
        <v>0</v>
      </c>
      <c r="AA135" s="43">
        <f t="shared" si="220"/>
        <v>45590</v>
      </c>
      <c r="AB135" s="235">
        <f t="shared" si="220"/>
        <v>0</v>
      </c>
      <c r="AC135" s="235">
        <f t="shared" si="220"/>
        <v>45590.400000000001</v>
      </c>
      <c r="AD135" s="235">
        <f t="shared" si="220"/>
        <v>0</v>
      </c>
      <c r="AE135" s="235">
        <f t="shared" si="220"/>
        <v>0</v>
      </c>
      <c r="AF135" s="235">
        <f t="shared" si="220"/>
        <v>0</v>
      </c>
      <c r="AG135" s="235">
        <f t="shared" si="220"/>
        <v>4000</v>
      </c>
      <c r="AH135" s="235">
        <f t="shared" si="220"/>
        <v>0</v>
      </c>
      <c r="AI135" s="235">
        <f t="shared" si="220"/>
        <v>5000</v>
      </c>
      <c r="AJ135" s="43">
        <f t="shared" si="220"/>
        <v>5000</v>
      </c>
      <c r="AK135" s="235">
        <f t="shared" si="220"/>
        <v>20000</v>
      </c>
      <c r="AL135" s="43">
        <f t="shared" si="220"/>
        <v>15000</v>
      </c>
      <c r="AM135" s="43">
        <f t="shared" si="220"/>
        <v>0</v>
      </c>
      <c r="AN135" s="43">
        <f t="shared" si="220"/>
        <v>15000</v>
      </c>
      <c r="AO135" s="43">
        <f t="shared" si="220"/>
        <v>0</v>
      </c>
      <c r="AP135" s="43">
        <f t="shared" si="220"/>
        <v>0</v>
      </c>
      <c r="AQ135" s="43"/>
      <c r="AR135" s="48">
        <f t="shared" si="184"/>
        <v>25590</v>
      </c>
      <c r="AS135" s="49" t="e">
        <f>#REF!-AL135</f>
        <v>#REF!</v>
      </c>
    </row>
    <row r="136" spans="2:45" s="50" customFormat="1" ht="50.1" customHeight="1">
      <c r="B136" s="237">
        <v>1</v>
      </c>
      <c r="C136" s="312" t="s">
        <v>903</v>
      </c>
      <c r="D136" s="93">
        <v>1</v>
      </c>
      <c r="E136" s="47"/>
      <c r="F136" s="47"/>
      <c r="G136" s="47"/>
      <c r="H136" s="47"/>
      <c r="I136" s="47">
        <v>1</v>
      </c>
      <c r="J136" s="47">
        <f>I136*AL136</f>
        <v>15000</v>
      </c>
      <c r="K136" s="47"/>
      <c r="L136" s="47">
        <v>1</v>
      </c>
      <c r="M136" s="88"/>
      <c r="N136" s="41" t="s">
        <v>161</v>
      </c>
      <c r="O136" s="41" t="s">
        <v>375</v>
      </c>
      <c r="P136" s="39" t="s">
        <v>363</v>
      </c>
      <c r="Q136" s="41">
        <v>7896949</v>
      </c>
      <c r="R136" s="41"/>
      <c r="S136" s="41"/>
      <c r="T136" s="105" t="s">
        <v>114</v>
      </c>
      <c r="U136" s="39"/>
      <c r="V136" s="106" t="s">
        <v>376</v>
      </c>
      <c r="W136" s="47">
        <v>52305</v>
      </c>
      <c r="X136" s="250"/>
      <c r="Y136" s="47">
        <v>50656</v>
      </c>
      <c r="Z136" s="235"/>
      <c r="AA136" s="47">
        <v>45590</v>
      </c>
      <c r="AB136" s="235"/>
      <c r="AC136" s="120">
        <f>Y136*0.9</f>
        <v>45590.400000000001</v>
      </c>
      <c r="AD136" s="235"/>
      <c r="AE136" s="235"/>
      <c r="AF136" s="235"/>
      <c r="AG136" s="250">
        <f>2400+1600</f>
        <v>4000</v>
      </c>
      <c r="AH136" s="235"/>
      <c r="AI136" s="424">
        <v>5000</v>
      </c>
      <c r="AJ136" s="47">
        <f>AF136+AI136</f>
        <v>5000</v>
      </c>
      <c r="AK136" s="265">
        <v>20000</v>
      </c>
      <c r="AL136" s="47">
        <f t="shared" ref="AL136" si="221">AM136+AN136+AO136</f>
        <v>15000</v>
      </c>
      <c r="AM136" s="43"/>
      <c r="AN136" s="62">
        <v>15000</v>
      </c>
      <c r="AO136" s="43"/>
      <c r="AP136" s="43"/>
      <c r="AQ136" s="47"/>
      <c r="AR136" s="48">
        <f t="shared" si="184"/>
        <v>25590</v>
      </c>
      <c r="AS136" s="49" t="e">
        <f>#REF!-AL136</f>
        <v>#REF!</v>
      </c>
    </row>
    <row r="137" spans="2:45" s="72" customFormat="1" ht="35.450000000000003" customHeight="1">
      <c r="B137" s="36"/>
      <c r="C137" s="346" t="s">
        <v>459</v>
      </c>
      <c r="D137" s="247">
        <f t="shared" ref="D137:J137" si="222">D138+D139</f>
        <v>2</v>
      </c>
      <c r="E137" s="43">
        <f t="shared" si="222"/>
        <v>0</v>
      </c>
      <c r="F137" s="43">
        <f t="shared" si="222"/>
        <v>0</v>
      </c>
      <c r="G137" s="43">
        <f t="shared" si="222"/>
        <v>0</v>
      </c>
      <c r="H137" s="43">
        <f t="shared" si="222"/>
        <v>0</v>
      </c>
      <c r="I137" s="43">
        <f t="shared" si="222"/>
        <v>2</v>
      </c>
      <c r="J137" s="43">
        <f t="shared" si="222"/>
        <v>8000</v>
      </c>
      <c r="K137" s="43">
        <f t="shared" ref="K137:M137" si="223">K138+K139</f>
        <v>0</v>
      </c>
      <c r="L137" s="43">
        <f t="shared" si="223"/>
        <v>2</v>
      </c>
      <c r="M137" s="246">
        <f t="shared" si="223"/>
        <v>0</v>
      </c>
      <c r="N137" s="80"/>
      <c r="O137" s="80"/>
      <c r="P137" s="80"/>
      <c r="Q137" s="80"/>
      <c r="R137" s="80"/>
      <c r="S137" s="80"/>
      <c r="T137" s="80"/>
      <c r="U137" s="80"/>
      <c r="V137" s="80"/>
      <c r="W137" s="43">
        <f t="shared" ref="W137:AP137" si="224">W138+W139</f>
        <v>140197</v>
      </c>
      <c r="X137" s="235">
        <f t="shared" ref="X137" si="225">X138+X139</f>
        <v>0</v>
      </c>
      <c r="Y137" s="43">
        <f t="shared" si="224"/>
        <v>121000</v>
      </c>
      <c r="Z137" s="43">
        <f t="shared" si="224"/>
        <v>0</v>
      </c>
      <c r="AA137" s="43">
        <f t="shared" si="224"/>
        <v>54900</v>
      </c>
      <c r="AB137" s="235">
        <f t="shared" si="224"/>
        <v>0</v>
      </c>
      <c r="AC137" s="235">
        <f t="shared" si="224"/>
        <v>108900</v>
      </c>
      <c r="AD137" s="235">
        <f t="shared" si="224"/>
        <v>0</v>
      </c>
      <c r="AE137" s="235">
        <f t="shared" si="224"/>
        <v>0</v>
      </c>
      <c r="AF137" s="235">
        <f t="shared" si="224"/>
        <v>0</v>
      </c>
      <c r="AG137" s="235">
        <f t="shared" si="224"/>
        <v>11400</v>
      </c>
      <c r="AH137" s="235">
        <f t="shared" si="224"/>
        <v>524.27200000000005</v>
      </c>
      <c r="AI137" s="235">
        <f t="shared" si="224"/>
        <v>11400</v>
      </c>
      <c r="AJ137" s="43">
        <f t="shared" si="224"/>
        <v>11400</v>
      </c>
      <c r="AK137" s="235">
        <f t="shared" si="224"/>
        <v>97500</v>
      </c>
      <c r="AL137" s="43">
        <f t="shared" si="224"/>
        <v>8000</v>
      </c>
      <c r="AM137" s="43">
        <f t="shared" si="224"/>
        <v>0</v>
      </c>
      <c r="AN137" s="43">
        <f t="shared" si="224"/>
        <v>8000</v>
      </c>
      <c r="AO137" s="43">
        <f t="shared" si="224"/>
        <v>0</v>
      </c>
      <c r="AP137" s="43">
        <f t="shared" si="224"/>
        <v>0</v>
      </c>
      <c r="AQ137" s="43"/>
      <c r="AR137" s="48">
        <f t="shared" si="184"/>
        <v>35500</v>
      </c>
      <c r="AS137" s="49" t="e">
        <f>#REF!-AL137</f>
        <v>#REF!</v>
      </c>
    </row>
    <row r="138" spans="2:45" s="50" customFormat="1" ht="48.95" customHeight="1">
      <c r="B138" s="237">
        <v>1</v>
      </c>
      <c r="C138" s="102" t="s">
        <v>904</v>
      </c>
      <c r="D138" s="38">
        <v>1</v>
      </c>
      <c r="E138" s="47"/>
      <c r="F138" s="47"/>
      <c r="G138" s="68"/>
      <c r="H138" s="68"/>
      <c r="I138" s="47">
        <v>1</v>
      </c>
      <c r="J138" s="47">
        <f>I138*AL138</f>
        <v>5000</v>
      </c>
      <c r="K138" s="47"/>
      <c r="L138" s="68">
        <v>1</v>
      </c>
      <c r="M138" s="88"/>
      <c r="N138" s="39" t="s">
        <v>195</v>
      </c>
      <c r="O138" s="39" t="s">
        <v>460</v>
      </c>
      <c r="P138" s="39" t="s">
        <v>456</v>
      </c>
      <c r="Q138" s="39"/>
      <c r="R138" s="80"/>
      <c r="S138" s="39" t="s">
        <v>461</v>
      </c>
      <c r="T138" s="39" t="s">
        <v>114</v>
      </c>
      <c r="U138" s="39"/>
      <c r="V138" s="39" t="s">
        <v>462</v>
      </c>
      <c r="W138" s="68">
        <v>83019</v>
      </c>
      <c r="X138" s="120"/>
      <c r="Y138" s="68">
        <f>83000-8000</f>
        <v>75000</v>
      </c>
      <c r="Z138" s="235"/>
      <c r="AA138" s="47">
        <f>33000*0.9</f>
        <v>29700</v>
      </c>
      <c r="AB138" s="235"/>
      <c r="AC138" s="120">
        <v>67500</v>
      </c>
      <c r="AD138" s="235"/>
      <c r="AE138" s="235"/>
      <c r="AF138" s="235"/>
      <c r="AG138" s="250">
        <f>4900+1600</f>
        <v>6500</v>
      </c>
      <c r="AH138" s="221">
        <v>524.27200000000005</v>
      </c>
      <c r="AI138" s="250">
        <f>4900+1600</f>
        <v>6500</v>
      </c>
      <c r="AJ138" s="47">
        <f t="shared" ref="AJ138:AJ139" si="226">AF138+AI138</f>
        <v>6500</v>
      </c>
      <c r="AK138" s="120">
        <v>61000</v>
      </c>
      <c r="AL138" s="47">
        <f t="shared" ref="AL138:AL139" si="227">AM138+AN138+AO138</f>
        <v>5000</v>
      </c>
      <c r="AM138" s="43"/>
      <c r="AN138" s="47">
        <v>5000</v>
      </c>
      <c r="AO138" s="43"/>
      <c r="AP138" s="43"/>
      <c r="AQ138" s="47"/>
      <c r="AR138" s="48">
        <f t="shared" si="184"/>
        <v>18200</v>
      </c>
      <c r="AS138" s="49" t="e">
        <f>#REF!-AL138</f>
        <v>#REF!</v>
      </c>
    </row>
    <row r="139" spans="2:45" s="50" customFormat="1" ht="48.95" customHeight="1">
      <c r="B139" s="237">
        <v>2</v>
      </c>
      <c r="C139" s="102" t="s">
        <v>905</v>
      </c>
      <c r="D139" s="38">
        <v>1</v>
      </c>
      <c r="E139" s="47"/>
      <c r="F139" s="47"/>
      <c r="G139" s="68"/>
      <c r="H139" s="68"/>
      <c r="I139" s="47">
        <v>1</v>
      </c>
      <c r="J139" s="47">
        <f>I139*AL139</f>
        <v>3000</v>
      </c>
      <c r="K139" s="47"/>
      <c r="L139" s="68">
        <v>1</v>
      </c>
      <c r="M139" s="88"/>
      <c r="N139" s="39" t="s">
        <v>195</v>
      </c>
      <c r="O139" s="39" t="s">
        <v>460</v>
      </c>
      <c r="P139" s="39" t="s">
        <v>456</v>
      </c>
      <c r="Q139" s="39"/>
      <c r="R139" s="80"/>
      <c r="S139" s="39" t="s">
        <v>461</v>
      </c>
      <c r="T139" s="39" t="s">
        <v>114</v>
      </c>
      <c r="U139" s="39"/>
      <c r="V139" s="39" t="s">
        <v>463</v>
      </c>
      <c r="W139" s="68">
        <v>57178</v>
      </c>
      <c r="X139" s="120"/>
      <c r="Y139" s="68">
        <f>51000-5000</f>
        <v>46000</v>
      </c>
      <c r="Z139" s="235"/>
      <c r="AA139" s="47">
        <f>28000*0.9</f>
        <v>25200</v>
      </c>
      <c r="AB139" s="235"/>
      <c r="AC139" s="120">
        <v>41400</v>
      </c>
      <c r="AD139" s="235"/>
      <c r="AE139" s="235"/>
      <c r="AF139" s="235"/>
      <c r="AG139" s="250">
        <v>4900</v>
      </c>
      <c r="AH139" s="235"/>
      <c r="AI139" s="250">
        <v>4900</v>
      </c>
      <c r="AJ139" s="47">
        <f t="shared" si="226"/>
        <v>4900</v>
      </c>
      <c r="AK139" s="120">
        <v>36500</v>
      </c>
      <c r="AL139" s="47">
        <f t="shared" si="227"/>
        <v>3000</v>
      </c>
      <c r="AM139" s="43"/>
      <c r="AN139" s="47">
        <v>3000</v>
      </c>
      <c r="AO139" s="43"/>
      <c r="AP139" s="43"/>
      <c r="AQ139" s="47"/>
      <c r="AR139" s="48">
        <f t="shared" si="184"/>
        <v>17300</v>
      </c>
      <c r="AS139" s="49" t="e">
        <f>#REF!-AL139</f>
        <v>#REF!</v>
      </c>
    </row>
    <row r="140" spans="2:45" s="244" customFormat="1" ht="21.95" customHeight="1">
      <c r="B140" s="129" t="s">
        <v>190</v>
      </c>
      <c r="C140" s="352" t="s">
        <v>119</v>
      </c>
      <c r="D140" s="439">
        <f t="shared" ref="D140:J140" si="228">D145+D152+D163+D170+D176+D188+D190+D198+D141+D204+D208+D213</f>
        <v>63</v>
      </c>
      <c r="E140" s="69">
        <f t="shared" si="228"/>
        <v>0</v>
      </c>
      <c r="F140" s="69">
        <f t="shared" si="228"/>
        <v>0</v>
      </c>
      <c r="G140" s="69">
        <f t="shared" si="228"/>
        <v>0</v>
      </c>
      <c r="H140" s="69">
        <f t="shared" si="228"/>
        <v>0</v>
      </c>
      <c r="I140" s="69">
        <f t="shared" si="228"/>
        <v>63</v>
      </c>
      <c r="J140" s="69">
        <f t="shared" si="228"/>
        <v>328100</v>
      </c>
      <c r="K140" s="69">
        <f>K145+K152+K163+K170+K176+K188+K190+K198</f>
        <v>0</v>
      </c>
      <c r="L140" s="69">
        <f>L145+L152+L163+L170+L176+L188+L190+L198</f>
        <v>51</v>
      </c>
      <c r="M140" s="273">
        <f>M145+M152+M163+M170+M176+M188+M190+M198</f>
        <v>0</v>
      </c>
      <c r="N140" s="245"/>
      <c r="O140" s="245"/>
      <c r="P140" s="245"/>
      <c r="Q140" s="245"/>
      <c r="R140" s="245"/>
      <c r="S140" s="245"/>
      <c r="T140" s="245"/>
      <c r="U140" s="245"/>
      <c r="V140" s="245"/>
      <c r="W140" s="69">
        <f>W145+W152+W163+W170+W176+W188+W190+W198+W141+W204+W208+W213</f>
        <v>1606469.3829999999</v>
      </c>
      <c r="X140" s="69">
        <f t="shared" ref="X140:AP140" si="229">X145+X152+X163+X170+X176+X188+X190+X198+X141+X204+X208+X213</f>
        <v>0</v>
      </c>
      <c r="Y140" s="69">
        <f t="shared" si="229"/>
        <v>1508382.3097999999</v>
      </c>
      <c r="Z140" s="69">
        <f t="shared" si="229"/>
        <v>0</v>
      </c>
      <c r="AA140" s="69">
        <f t="shared" si="229"/>
        <v>1107163.3</v>
      </c>
      <c r="AB140" s="236">
        <f t="shared" si="229"/>
        <v>0</v>
      </c>
      <c r="AC140" s="236">
        <f t="shared" si="229"/>
        <v>1368534.9788200001</v>
      </c>
      <c r="AD140" s="236">
        <f t="shared" si="229"/>
        <v>0</v>
      </c>
      <c r="AE140" s="236">
        <f t="shared" si="229"/>
        <v>0</v>
      </c>
      <c r="AF140" s="236">
        <f t="shared" si="229"/>
        <v>97365.926999999996</v>
      </c>
      <c r="AG140" s="236">
        <f t="shared" si="229"/>
        <v>242939</v>
      </c>
      <c r="AH140" s="236">
        <f t="shared" si="229"/>
        <v>77841.863999999987</v>
      </c>
      <c r="AI140" s="236">
        <f t="shared" si="229"/>
        <v>282334</v>
      </c>
      <c r="AJ140" s="69">
        <f t="shared" si="229"/>
        <v>379699.92700000003</v>
      </c>
      <c r="AK140" s="236">
        <f t="shared" si="229"/>
        <v>625209</v>
      </c>
      <c r="AL140" s="69">
        <f t="shared" si="229"/>
        <v>328100</v>
      </c>
      <c r="AM140" s="69">
        <f t="shared" si="229"/>
        <v>0</v>
      </c>
      <c r="AN140" s="69">
        <f t="shared" si="229"/>
        <v>328100</v>
      </c>
      <c r="AO140" s="69">
        <f t="shared" si="229"/>
        <v>0</v>
      </c>
      <c r="AP140" s="69">
        <f t="shared" si="229"/>
        <v>0</v>
      </c>
      <c r="AQ140" s="69"/>
      <c r="AR140" s="131">
        <f t="shared" si="184"/>
        <v>399363.37300000002</v>
      </c>
      <c r="AS140" s="132" t="e">
        <f>#REF!-AL140</f>
        <v>#REF!</v>
      </c>
    </row>
    <row r="141" spans="2:45" s="72" customFormat="1" ht="22.5" customHeight="1">
      <c r="B141" s="36"/>
      <c r="C141" s="346" t="s">
        <v>191</v>
      </c>
      <c r="D141" s="247">
        <f t="shared" ref="D141:J141" si="230">D142+D143+D144</f>
        <v>3</v>
      </c>
      <c r="E141" s="43">
        <f t="shared" si="230"/>
        <v>0</v>
      </c>
      <c r="F141" s="43">
        <f t="shared" si="230"/>
        <v>0</v>
      </c>
      <c r="G141" s="43">
        <f t="shared" si="230"/>
        <v>0</v>
      </c>
      <c r="H141" s="43">
        <f t="shared" si="230"/>
        <v>0</v>
      </c>
      <c r="I141" s="43">
        <f t="shared" si="230"/>
        <v>3</v>
      </c>
      <c r="J141" s="43">
        <f t="shared" si="230"/>
        <v>19000</v>
      </c>
      <c r="K141" s="43">
        <f t="shared" ref="K141:M141" si="231">SUM(K142:K144)</f>
        <v>0</v>
      </c>
      <c r="L141" s="43">
        <f t="shared" si="231"/>
        <v>3</v>
      </c>
      <c r="M141" s="246">
        <f t="shared" si="231"/>
        <v>0</v>
      </c>
      <c r="N141" s="80"/>
      <c r="O141" s="80"/>
      <c r="P141" s="80"/>
      <c r="Q141" s="80"/>
      <c r="R141" s="80"/>
      <c r="S141" s="80"/>
      <c r="T141" s="80"/>
      <c r="U141" s="80"/>
      <c r="V141" s="80"/>
      <c r="W141" s="43">
        <f>W142+W143+W144</f>
        <v>62387</v>
      </c>
      <c r="X141" s="235">
        <f t="shared" ref="X141:AP141" si="232">X142+X143+X144</f>
        <v>0</v>
      </c>
      <c r="Y141" s="43">
        <f t="shared" si="232"/>
        <v>62387</v>
      </c>
      <c r="Z141" s="43">
        <f t="shared" si="232"/>
        <v>0</v>
      </c>
      <c r="AA141" s="43">
        <f t="shared" si="232"/>
        <v>56000</v>
      </c>
      <c r="AB141" s="235">
        <f t="shared" si="232"/>
        <v>0</v>
      </c>
      <c r="AC141" s="235">
        <f t="shared" si="232"/>
        <v>56075.199999999997</v>
      </c>
      <c r="AD141" s="235">
        <f t="shared" si="232"/>
        <v>0</v>
      </c>
      <c r="AE141" s="235">
        <f t="shared" si="232"/>
        <v>0</v>
      </c>
      <c r="AF141" s="235">
        <f t="shared" si="232"/>
        <v>0</v>
      </c>
      <c r="AG141" s="235">
        <f t="shared" si="232"/>
        <v>12000</v>
      </c>
      <c r="AH141" s="235">
        <f t="shared" si="232"/>
        <v>1130.405</v>
      </c>
      <c r="AI141" s="235">
        <f t="shared" si="232"/>
        <v>19100</v>
      </c>
      <c r="AJ141" s="43">
        <f t="shared" si="232"/>
        <v>19100</v>
      </c>
      <c r="AK141" s="235">
        <f t="shared" si="232"/>
        <v>29900</v>
      </c>
      <c r="AL141" s="43">
        <f t="shared" si="232"/>
        <v>19000</v>
      </c>
      <c r="AM141" s="43">
        <f t="shared" si="232"/>
        <v>0</v>
      </c>
      <c r="AN141" s="43">
        <f t="shared" si="232"/>
        <v>19000</v>
      </c>
      <c r="AO141" s="43">
        <f t="shared" si="232"/>
        <v>0</v>
      </c>
      <c r="AP141" s="43">
        <f t="shared" si="232"/>
        <v>0</v>
      </c>
      <c r="AQ141" s="43"/>
      <c r="AR141" s="48">
        <f t="shared" si="184"/>
        <v>17900</v>
      </c>
      <c r="AS141" s="49" t="e">
        <f>#REF!-AL141</f>
        <v>#REF!</v>
      </c>
    </row>
    <row r="142" spans="2:45" s="50" customFormat="1" ht="72.75" customHeight="1">
      <c r="B142" s="237">
        <v>1</v>
      </c>
      <c r="C142" s="350" t="s">
        <v>210</v>
      </c>
      <c r="D142" s="93">
        <v>1</v>
      </c>
      <c r="E142" s="47"/>
      <c r="F142" s="47"/>
      <c r="G142" s="47"/>
      <c r="H142" s="47"/>
      <c r="I142" s="47">
        <v>1</v>
      </c>
      <c r="J142" s="47">
        <f>I142*AL142</f>
        <v>5000</v>
      </c>
      <c r="K142" s="47"/>
      <c r="L142" s="43">
        <v>1</v>
      </c>
      <c r="M142" s="88"/>
      <c r="N142" s="41" t="s">
        <v>213</v>
      </c>
      <c r="O142" s="41" t="s">
        <v>109</v>
      </c>
      <c r="P142" s="39" t="s">
        <v>214</v>
      </c>
      <c r="Q142" s="41">
        <v>7926672</v>
      </c>
      <c r="R142" s="41"/>
      <c r="S142" s="41"/>
      <c r="T142" s="41" t="s">
        <v>115</v>
      </c>
      <c r="U142" s="39"/>
      <c r="V142" s="39" t="s">
        <v>216</v>
      </c>
      <c r="W142" s="68">
        <v>18225</v>
      </c>
      <c r="X142" s="120"/>
      <c r="Y142" s="68">
        <v>18225</v>
      </c>
      <c r="Z142" s="235"/>
      <c r="AA142" s="47">
        <v>16400</v>
      </c>
      <c r="AB142" s="235"/>
      <c r="AC142" s="120">
        <v>16400</v>
      </c>
      <c r="AD142" s="235"/>
      <c r="AE142" s="235"/>
      <c r="AF142" s="235"/>
      <c r="AG142" s="250">
        <v>4000</v>
      </c>
      <c r="AH142" s="221">
        <v>305</v>
      </c>
      <c r="AI142" s="426">
        <v>5100</v>
      </c>
      <c r="AJ142" s="47">
        <f t="shared" ref="AJ142:AJ144" si="233">AF142+AI142</f>
        <v>5100</v>
      </c>
      <c r="AK142" s="120">
        <f>14000-5100</f>
        <v>8900</v>
      </c>
      <c r="AL142" s="47">
        <f t="shared" ref="AL142:AL144" si="234">AM142+AN142+AO142</f>
        <v>5000</v>
      </c>
      <c r="AM142" s="43"/>
      <c r="AN142" s="47">
        <v>5000</v>
      </c>
      <c r="AO142" s="43"/>
      <c r="AP142" s="43"/>
      <c r="AQ142" s="47"/>
      <c r="AR142" s="48">
        <f t="shared" si="184"/>
        <v>6300</v>
      </c>
      <c r="AS142" s="49" t="e">
        <f>#REF!-AL142</f>
        <v>#REF!</v>
      </c>
    </row>
    <row r="143" spans="2:45" s="50" customFormat="1" ht="63.75" customHeight="1">
      <c r="B143" s="237">
        <v>2</v>
      </c>
      <c r="C143" s="350" t="s">
        <v>211</v>
      </c>
      <c r="D143" s="93">
        <v>1</v>
      </c>
      <c r="E143" s="47"/>
      <c r="F143" s="47"/>
      <c r="G143" s="47"/>
      <c r="H143" s="47"/>
      <c r="I143" s="47">
        <v>1</v>
      </c>
      <c r="J143" s="47">
        <f>I143*AL143</f>
        <v>7000</v>
      </c>
      <c r="K143" s="47"/>
      <c r="L143" s="43">
        <v>1</v>
      </c>
      <c r="M143" s="88"/>
      <c r="N143" s="41" t="s">
        <v>215</v>
      </c>
      <c r="O143" s="41" t="s">
        <v>109</v>
      </c>
      <c r="P143" s="39" t="s">
        <v>214</v>
      </c>
      <c r="Q143" s="41">
        <v>7926670</v>
      </c>
      <c r="R143" s="41"/>
      <c r="S143" s="41"/>
      <c r="T143" s="41" t="s">
        <v>115</v>
      </c>
      <c r="U143" s="39"/>
      <c r="V143" s="39" t="s">
        <v>217</v>
      </c>
      <c r="W143" s="68">
        <v>23634</v>
      </c>
      <c r="X143" s="120"/>
      <c r="Y143" s="68">
        <v>23634</v>
      </c>
      <c r="Z143" s="235"/>
      <c r="AA143" s="47">
        <v>21200</v>
      </c>
      <c r="AB143" s="235"/>
      <c r="AC143" s="120">
        <v>21200</v>
      </c>
      <c r="AD143" s="235"/>
      <c r="AE143" s="235"/>
      <c r="AF143" s="235"/>
      <c r="AG143" s="250">
        <v>4000</v>
      </c>
      <c r="AH143" s="221">
        <v>340.21600000000001</v>
      </c>
      <c r="AI143" s="426">
        <v>7000</v>
      </c>
      <c r="AJ143" s="47">
        <f t="shared" si="233"/>
        <v>7000</v>
      </c>
      <c r="AK143" s="120">
        <v>11000</v>
      </c>
      <c r="AL143" s="47">
        <f t="shared" si="234"/>
        <v>7000</v>
      </c>
      <c r="AM143" s="43"/>
      <c r="AN143" s="47">
        <v>7000</v>
      </c>
      <c r="AO143" s="43"/>
      <c r="AP143" s="43"/>
      <c r="AQ143" s="47"/>
      <c r="AR143" s="48">
        <f t="shared" si="184"/>
        <v>7200</v>
      </c>
      <c r="AS143" s="49" t="e">
        <f>#REF!-AL143</f>
        <v>#REF!</v>
      </c>
    </row>
    <row r="144" spans="2:45" s="50" customFormat="1" ht="74.25" customHeight="1">
      <c r="B144" s="237">
        <v>3</v>
      </c>
      <c r="C144" s="350" t="s">
        <v>212</v>
      </c>
      <c r="D144" s="93">
        <v>1</v>
      </c>
      <c r="E144" s="47"/>
      <c r="F144" s="47"/>
      <c r="G144" s="47"/>
      <c r="H144" s="47"/>
      <c r="I144" s="47">
        <v>1</v>
      </c>
      <c r="J144" s="47">
        <f>I144*AL144</f>
        <v>7000</v>
      </c>
      <c r="K144" s="47"/>
      <c r="L144" s="43">
        <v>1</v>
      </c>
      <c r="M144" s="88"/>
      <c r="N144" s="41" t="s">
        <v>161</v>
      </c>
      <c r="O144" s="41" t="s">
        <v>109</v>
      </c>
      <c r="P144" s="39" t="s">
        <v>214</v>
      </c>
      <c r="Q144" s="41">
        <v>7926671</v>
      </c>
      <c r="R144" s="41"/>
      <c r="S144" s="41"/>
      <c r="T144" s="41" t="s">
        <v>115</v>
      </c>
      <c r="U144" s="39"/>
      <c r="V144" s="39" t="s">
        <v>218</v>
      </c>
      <c r="W144" s="68">
        <v>20528</v>
      </c>
      <c r="X144" s="120"/>
      <c r="Y144" s="68">
        <v>20528</v>
      </c>
      <c r="Z144" s="235"/>
      <c r="AA144" s="47">
        <v>18400</v>
      </c>
      <c r="AB144" s="235"/>
      <c r="AC144" s="120">
        <f>Y144*0.9</f>
        <v>18475.2</v>
      </c>
      <c r="AD144" s="235"/>
      <c r="AE144" s="235"/>
      <c r="AF144" s="235"/>
      <c r="AG144" s="250">
        <v>4000</v>
      </c>
      <c r="AH144" s="221">
        <v>485.18900000000002</v>
      </c>
      <c r="AI144" s="426">
        <v>7000</v>
      </c>
      <c r="AJ144" s="47">
        <f t="shared" si="233"/>
        <v>7000</v>
      </c>
      <c r="AK144" s="120">
        <v>10000</v>
      </c>
      <c r="AL144" s="47">
        <f t="shared" si="234"/>
        <v>7000</v>
      </c>
      <c r="AM144" s="43"/>
      <c r="AN144" s="47">
        <v>7000</v>
      </c>
      <c r="AO144" s="43"/>
      <c r="AP144" s="43"/>
      <c r="AQ144" s="47"/>
      <c r="AR144" s="48">
        <f t="shared" si="184"/>
        <v>4400</v>
      </c>
      <c r="AS144" s="49" t="e">
        <f>#REF!-AL144</f>
        <v>#REF!</v>
      </c>
    </row>
    <row r="145" spans="2:45" s="72" customFormat="1" ht="23.45" customHeight="1">
      <c r="B145" s="36"/>
      <c r="C145" s="346" t="s">
        <v>240</v>
      </c>
      <c r="D145" s="247">
        <f t="shared" ref="D145:J145" si="235">D146+D147+D148+D149+D150+D151</f>
        <v>6</v>
      </c>
      <c r="E145" s="43">
        <f t="shared" si="235"/>
        <v>0</v>
      </c>
      <c r="F145" s="43">
        <f t="shared" si="235"/>
        <v>0</v>
      </c>
      <c r="G145" s="43">
        <f t="shared" si="235"/>
        <v>0</v>
      </c>
      <c r="H145" s="43">
        <f t="shared" si="235"/>
        <v>0</v>
      </c>
      <c r="I145" s="43">
        <f t="shared" si="235"/>
        <v>6</v>
      </c>
      <c r="J145" s="43">
        <f t="shared" si="235"/>
        <v>41000</v>
      </c>
      <c r="K145" s="43">
        <f t="shared" ref="K145:M145" si="236">SUM(K146:K151)</f>
        <v>0</v>
      </c>
      <c r="L145" s="43">
        <f t="shared" si="236"/>
        <v>6</v>
      </c>
      <c r="M145" s="246">
        <f t="shared" si="236"/>
        <v>0</v>
      </c>
      <c r="N145" s="80"/>
      <c r="O145" s="80"/>
      <c r="P145" s="80"/>
      <c r="Q145" s="80"/>
      <c r="R145" s="80"/>
      <c r="S145" s="80"/>
      <c r="T145" s="80"/>
      <c r="U145" s="80"/>
      <c r="V145" s="80"/>
      <c r="W145" s="43">
        <f>W146+W147+W148+W149+W150+W151</f>
        <v>223053.17600000001</v>
      </c>
      <c r="X145" s="235">
        <f t="shared" ref="X145" si="237">SUM(X146:X151)</f>
        <v>0</v>
      </c>
      <c r="Y145" s="43">
        <f t="shared" ref="Y145:AP145" si="238">Y146+Y147+Y148+Y149+Y150+Y151</f>
        <v>198800</v>
      </c>
      <c r="Z145" s="43">
        <f t="shared" si="238"/>
        <v>0</v>
      </c>
      <c r="AA145" s="43">
        <f t="shared" si="238"/>
        <v>146300</v>
      </c>
      <c r="AB145" s="235">
        <f t="shared" si="238"/>
        <v>0</v>
      </c>
      <c r="AC145" s="235">
        <f t="shared" si="238"/>
        <v>178920</v>
      </c>
      <c r="AD145" s="235">
        <f t="shared" si="238"/>
        <v>0</v>
      </c>
      <c r="AE145" s="235">
        <f t="shared" si="238"/>
        <v>0</v>
      </c>
      <c r="AF145" s="235">
        <f t="shared" si="238"/>
        <v>500</v>
      </c>
      <c r="AG145" s="235">
        <f t="shared" si="238"/>
        <v>16400</v>
      </c>
      <c r="AH145" s="235">
        <f t="shared" si="238"/>
        <v>4269.4719999999998</v>
      </c>
      <c r="AI145" s="235">
        <f t="shared" si="238"/>
        <v>20962</v>
      </c>
      <c r="AJ145" s="43">
        <f t="shared" si="238"/>
        <v>21462</v>
      </c>
      <c r="AK145" s="235">
        <f t="shared" si="238"/>
        <v>60000</v>
      </c>
      <c r="AL145" s="43">
        <f t="shared" si="238"/>
        <v>41000</v>
      </c>
      <c r="AM145" s="43">
        <f t="shared" si="238"/>
        <v>0</v>
      </c>
      <c r="AN145" s="43">
        <f t="shared" si="238"/>
        <v>41000</v>
      </c>
      <c r="AO145" s="43">
        <f t="shared" si="238"/>
        <v>0</v>
      </c>
      <c r="AP145" s="43">
        <f t="shared" si="238"/>
        <v>0</v>
      </c>
      <c r="AQ145" s="43"/>
      <c r="AR145" s="48">
        <f t="shared" si="184"/>
        <v>83838</v>
      </c>
      <c r="AS145" s="49" t="e">
        <f>#REF!-AL145</f>
        <v>#REF!</v>
      </c>
    </row>
    <row r="146" spans="2:45" s="50" customFormat="1" ht="65.25" customHeight="1">
      <c r="B146" s="237">
        <v>1</v>
      </c>
      <c r="C146" s="107" t="s">
        <v>906</v>
      </c>
      <c r="D146" s="440">
        <v>1</v>
      </c>
      <c r="E146" s="47"/>
      <c r="F146" s="47"/>
      <c r="G146" s="64"/>
      <c r="H146" s="64"/>
      <c r="I146" s="47">
        <v>1</v>
      </c>
      <c r="J146" s="47">
        <f t="shared" ref="J146:J151" si="239">I146*AL146</f>
        <v>5000</v>
      </c>
      <c r="K146" s="47"/>
      <c r="L146" s="64">
        <v>1</v>
      </c>
      <c r="M146" s="88"/>
      <c r="N146" s="41" t="s">
        <v>136</v>
      </c>
      <c r="O146" s="41" t="s">
        <v>244</v>
      </c>
      <c r="P146" s="39" t="s">
        <v>230</v>
      </c>
      <c r="Q146" s="108" t="s">
        <v>245</v>
      </c>
      <c r="R146" s="41"/>
      <c r="S146" s="41"/>
      <c r="T146" s="109" t="s">
        <v>114</v>
      </c>
      <c r="U146" s="39"/>
      <c r="V146" s="109" t="s">
        <v>246</v>
      </c>
      <c r="W146" s="44">
        <v>44930.175999999999</v>
      </c>
      <c r="X146" s="250"/>
      <c r="Y146" s="42">
        <v>33800</v>
      </c>
      <c r="Z146" s="235"/>
      <c r="AA146" s="42">
        <v>23900</v>
      </c>
      <c r="AB146" s="235"/>
      <c r="AC146" s="218">
        <f t="shared" ref="AC146:AC151" si="240">Y146*0.9</f>
        <v>30420</v>
      </c>
      <c r="AD146" s="235"/>
      <c r="AE146" s="235"/>
      <c r="AF146" s="120">
        <v>500</v>
      </c>
      <c r="AG146" s="250">
        <f>2400+1600</f>
        <v>4000</v>
      </c>
      <c r="AH146" s="221">
        <v>89.867000000000004</v>
      </c>
      <c r="AI146" s="423">
        <v>10746</v>
      </c>
      <c r="AJ146" s="47">
        <f t="shared" ref="AJ146:AJ151" si="241">AF146+AI146</f>
        <v>11246</v>
      </c>
      <c r="AK146" s="120">
        <v>10000</v>
      </c>
      <c r="AL146" s="47">
        <f t="shared" ref="AL146:AL203" si="242">AM146+AN146+AO146</f>
        <v>5000</v>
      </c>
      <c r="AM146" s="43"/>
      <c r="AN146" s="47">
        <v>5000</v>
      </c>
      <c r="AO146" s="43"/>
      <c r="AP146" s="43"/>
      <c r="AQ146" s="47"/>
      <c r="AR146" s="48">
        <f t="shared" si="184"/>
        <v>7654</v>
      </c>
      <c r="AS146" s="49" t="e">
        <f>#REF!-AL146</f>
        <v>#REF!</v>
      </c>
    </row>
    <row r="147" spans="2:45" s="50" customFormat="1" ht="66.75" customHeight="1">
      <c r="B147" s="237">
        <v>2</v>
      </c>
      <c r="C147" s="102" t="s">
        <v>907</v>
      </c>
      <c r="D147" s="440">
        <v>1</v>
      </c>
      <c r="E147" s="47"/>
      <c r="F147" s="47"/>
      <c r="G147" s="64"/>
      <c r="H147" s="64"/>
      <c r="I147" s="47">
        <v>1</v>
      </c>
      <c r="J147" s="47">
        <f t="shared" si="239"/>
        <v>7000</v>
      </c>
      <c r="K147" s="47"/>
      <c r="L147" s="64">
        <v>1</v>
      </c>
      <c r="M147" s="88"/>
      <c r="N147" s="41" t="s">
        <v>136</v>
      </c>
      <c r="O147" s="41" t="s">
        <v>244</v>
      </c>
      <c r="P147" s="39" t="s">
        <v>230</v>
      </c>
      <c r="Q147" s="39">
        <v>7843326</v>
      </c>
      <c r="R147" s="41"/>
      <c r="S147" s="41"/>
      <c r="T147" s="39" t="s">
        <v>114</v>
      </c>
      <c r="U147" s="39"/>
      <c r="V147" s="109" t="s">
        <v>825</v>
      </c>
      <c r="W147" s="47">
        <v>23338</v>
      </c>
      <c r="X147" s="250"/>
      <c r="Y147" s="47">
        <v>23000</v>
      </c>
      <c r="Z147" s="235"/>
      <c r="AA147" s="47">
        <v>19800</v>
      </c>
      <c r="AB147" s="235"/>
      <c r="AC147" s="218">
        <f t="shared" si="240"/>
        <v>20700</v>
      </c>
      <c r="AD147" s="235"/>
      <c r="AE147" s="235"/>
      <c r="AF147" s="235"/>
      <c r="AG147" s="250">
        <v>2400</v>
      </c>
      <c r="AH147" s="221">
        <v>2400</v>
      </c>
      <c r="AI147" s="250">
        <v>5000</v>
      </c>
      <c r="AJ147" s="47">
        <f t="shared" si="241"/>
        <v>5000</v>
      </c>
      <c r="AK147" s="120">
        <v>10000</v>
      </c>
      <c r="AL147" s="47">
        <f t="shared" si="242"/>
        <v>7000</v>
      </c>
      <c r="AM147" s="43"/>
      <c r="AN147" s="47">
        <v>7000</v>
      </c>
      <c r="AO147" s="43"/>
      <c r="AP147" s="43"/>
      <c r="AQ147" s="47"/>
      <c r="AR147" s="48">
        <f t="shared" si="184"/>
        <v>7800</v>
      </c>
      <c r="AS147" s="49" t="e">
        <f>#REF!-AL147</f>
        <v>#REF!</v>
      </c>
    </row>
    <row r="148" spans="2:45" s="50" customFormat="1" ht="62.25" customHeight="1">
      <c r="B148" s="237">
        <v>3</v>
      </c>
      <c r="C148" s="102" t="s">
        <v>908</v>
      </c>
      <c r="D148" s="440">
        <v>1</v>
      </c>
      <c r="E148" s="47"/>
      <c r="F148" s="47"/>
      <c r="G148" s="64"/>
      <c r="H148" s="64"/>
      <c r="I148" s="47">
        <v>1</v>
      </c>
      <c r="J148" s="47">
        <f t="shared" si="239"/>
        <v>5000</v>
      </c>
      <c r="K148" s="47"/>
      <c r="L148" s="64">
        <v>1</v>
      </c>
      <c r="M148" s="88"/>
      <c r="N148" s="41" t="s">
        <v>136</v>
      </c>
      <c r="O148" s="41" t="s">
        <v>244</v>
      </c>
      <c r="P148" s="39" t="s">
        <v>230</v>
      </c>
      <c r="Q148" s="39">
        <v>7918961</v>
      </c>
      <c r="R148" s="41"/>
      <c r="S148" s="41"/>
      <c r="T148" s="39" t="s">
        <v>114</v>
      </c>
      <c r="U148" s="39"/>
      <c r="V148" s="109" t="s">
        <v>247</v>
      </c>
      <c r="W148" s="47">
        <v>40036</v>
      </c>
      <c r="X148" s="250"/>
      <c r="Y148" s="47">
        <v>34600</v>
      </c>
      <c r="Z148" s="235"/>
      <c r="AA148" s="47">
        <v>17700</v>
      </c>
      <c r="AB148" s="235"/>
      <c r="AC148" s="218">
        <f t="shared" si="240"/>
        <v>31140</v>
      </c>
      <c r="AD148" s="235"/>
      <c r="AE148" s="235"/>
      <c r="AF148" s="235"/>
      <c r="AG148" s="250">
        <v>2800</v>
      </c>
      <c r="AH148" s="213">
        <v>643.90599999999995</v>
      </c>
      <c r="AI148" s="427">
        <v>2600</v>
      </c>
      <c r="AJ148" s="47">
        <f t="shared" si="241"/>
        <v>2600</v>
      </c>
      <c r="AK148" s="120">
        <v>5000</v>
      </c>
      <c r="AL148" s="47">
        <f t="shared" si="242"/>
        <v>5000</v>
      </c>
      <c r="AM148" s="43"/>
      <c r="AN148" s="47">
        <v>5000</v>
      </c>
      <c r="AO148" s="43"/>
      <c r="AP148" s="43"/>
      <c r="AQ148" s="47"/>
      <c r="AR148" s="48">
        <f t="shared" si="184"/>
        <v>10100</v>
      </c>
      <c r="AS148" s="49" t="e">
        <f>#REF!-AL148</f>
        <v>#REF!</v>
      </c>
    </row>
    <row r="149" spans="2:45" s="50" customFormat="1" ht="61.5" customHeight="1">
      <c r="B149" s="237">
        <v>4</v>
      </c>
      <c r="C149" s="382" t="s">
        <v>909</v>
      </c>
      <c r="D149" s="440">
        <v>1</v>
      </c>
      <c r="E149" s="47"/>
      <c r="F149" s="47"/>
      <c r="G149" s="64"/>
      <c r="H149" s="64"/>
      <c r="I149" s="47">
        <v>1</v>
      </c>
      <c r="J149" s="47">
        <f t="shared" si="239"/>
        <v>10000</v>
      </c>
      <c r="K149" s="47"/>
      <c r="L149" s="64">
        <v>1</v>
      </c>
      <c r="M149" s="88"/>
      <c r="N149" s="41" t="s">
        <v>136</v>
      </c>
      <c r="O149" s="41" t="s">
        <v>244</v>
      </c>
      <c r="P149" s="39" t="s">
        <v>230</v>
      </c>
      <c r="Q149" s="39">
        <v>7878578</v>
      </c>
      <c r="R149" s="41"/>
      <c r="S149" s="41"/>
      <c r="T149" s="39" t="s">
        <v>114</v>
      </c>
      <c r="U149" s="39"/>
      <c r="V149" s="109" t="s">
        <v>248</v>
      </c>
      <c r="W149" s="47">
        <v>43514</v>
      </c>
      <c r="X149" s="250"/>
      <c r="Y149" s="47">
        <v>44900</v>
      </c>
      <c r="Z149" s="235"/>
      <c r="AA149" s="47">
        <v>39400</v>
      </c>
      <c r="AB149" s="235"/>
      <c r="AC149" s="218">
        <f t="shared" si="240"/>
        <v>40410</v>
      </c>
      <c r="AD149" s="235"/>
      <c r="AE149" s="235"/>
      <c r="AF149" s="235"/>
      <c r="AG149" s="250">
        <v>2400</v>
      </c>
      <c r="AH149" s="213">
        <v>447.58299999999997</v>
      </c>
      <c r="AI149" s="424">
        <v>922</v>
      </c>
      <c r="AJ149" s="47">
        <f t="shared" si="241"/>
        <v>922</v>
      </c>
      <c r="AK149" s="120">
        <v>15000</v>
      </c>
      <c r="AL149" s="47">
        <f t="shared" si="242"/>
        <v>10000</v>
      </c>
      <c r="AM149" s="43"/>
      <c r="AN149" s="47">
        <v>10000</v>
      </c>
      <c r="AO149" s="43"/>
      <c r="AP149" s="43"/>
      <c r="AQ149" s="47"/>
      <c r="AR149" s="48">
        <f t="shared" si="184"/>
        <v>28478</v>
      </c>
      <c r="AS149" s="49" t="e">
        <f>#REF!-AL149</f>
        <v>#REF!</v>
      </c>
    </row>
    <row r="150" spans="2:45" s="50" customFormat="1" ht="63" customHeight="1">
      <c r="B150" s="237">
        <v>5</v>
      </c>
      <c r="C150" s="102" t="s">
        <v>910</v>
      </c>
      <c r="D150" s="440">
        <v>1</v>
      </c>
      <c r="E150" s="47"/>
      <c r="F150" s="47"/>
      <c r="G150" s="64"/>
      <c r="H150" s="64"/>
      <c r="I150" s="47">
        <v>1</v>
      </c>
      <c r="J150" s="47">
        <f t="shared" si="239"/>
        <v>7000</v>
      </c>
      <c r="K150" s="47"/>
      <c r="L150" s="64">
        <v>1</v>
      </c>
      <c r="M150" s="88"/>
      <c r="N150" s="41" t="s">
        <v>136</v>
      </c>
      <c r="O150" s="41" t="s">
        <v>244</v>
      </c>
      <c r="P150" s="39" t="s">
        <v>230</v>
      </c>
      <c r="Q150" s="39">
        <v>7918962</v>
      </c>
      <c r="R150" s="41"/>
      <c r="S150" s="41"/>
      <c r="T150" s="39" t="s">
        <v>114</v>
      </c>
      <c r="U150" s="39"/>
      <c r="V150" s="109" t="s">
        <v>249</v>
      </c>
      <c r="W150" s="47">
        <v>40226</v>
      </c>
      <c r="X150" s="250"/>
      <c r="Y150" s="47">
        <v>40000</v>
      </c>
      <c r="Z150" s="235"/>
      <c r="AA150" s="47">
        <v>30100</v>
      </c>
      <c r="AB150" s="235"/>
      <c r="AC150" s="218">
        <f t="shared" si="240"/>
        <v>36000</v>
      </c>
      <c r="AD150" s="235"/>
      <c r="AE150" s="235"/>
      <c r="AF150" s="235"/>
      <c r="AG150" s="250">
        <v>2400</v>
      </c>
      <c r="AH150" s="213">
        <v>276.16899999999998</v>
      </c>
      <c r="AI150" s="427">
        <v>963</v>
      </c>
      <c r="AJ150" s="47">
        <f t="shared" si="241"/>
        <v>963</v>
      </c>
      <c r="AK150" s="120">
        <v>10000</v>
      </c>
      <c r="AL150" s="47">
        <f t="shared" si="242"/>
        <v>7000</v>
      </c>
      <c r="AM150" s="43"/>
      <c r="AN150" s="47">
        <v>7000</v>
      </c>
      <c r="AO150" s="43"/>
      <c r="AP150" s="43"/>
      <c r="AQ150" s="47"/>
      <c r="AR150" s="48">
        <f t="shared" si="184"/>
        <v>22137</v>
      </c>
      <c r="AS150" s="49" t="e">
        <f>#REF!-AL150</f>
        <v>#REF!</v>
      </c>
    </row>
    <row r="151" spans="2:45" s="50" customFormat="1" ht="66" customHeight="1">
      <c r="B151" s="237">
        <v>6</v>
      </c>
      <c r="C151" s="102" t="s">
        <v>911</v>
      </c>
      <c r="D151" s="440">
        <v>1</v>
      </c>
      <c r="E151" s="47"/>
      <c r="F151" s="47"/>
      <c r="G151" s="64"/>
      <c r="H151" s="64"/>
      <c r="I151" s="47">
        <v>1</v>
      </c>
      <c r="J151" s="47">
        <f t="shared" si="239"/>
        <v>7000</v>
      </c>
      <c r="K151" s="47"/>
      <c r="L151" s="64">
        <v>1</v>
      </c>
      <c r="M151" s="88"/>
      <c r="N151" s="41" t="s">
        <v>136</v>
      </c>
      <c r="O151" s="41" t="s">
        <v>244</v>
      </c>
      <c r="P151" s="39" t="s">
        <v>230</v>
      </c>
      <c r="Q151" s="39">
        <v>7919399</v>
      </c>
      <c r="R151" s="41"/>
      <c r="S151" s="41"/>
      <c r="T151" s="39" t="s">
        <v>114</v>
      </c>
      <c r="U151" s="39"/>
      <c r="V151" s="109" t="s">
        <v>250</v>
      </c>
      <c r="W151" s="47">
        <v>31009</v>
      </c>
      <c r="X151" s="250"/>
      <c r="Y151" s="47">
        <v>22500</v>
      </c>
      <c r="Z151" s="235"/>
      <c r="AA151" s="47">
        <v>15400</v>
      </c>
      <c r="AB151" s="235"/>
      <c r="AC151" s="218">
        <f t="shared" si="240"/>
        <v>20250</v>
      </c>
      <c r="AD151" s="235"/>
      <c r="AE151" s="235"/>
      <c r="AF151" s="235"/>
      <c r="AG151" s="250">
        <v>2400</v>
      </c>
      <c r="AH151" s="213">
        <v>411.94699999999995</v>
      </c>
      <c r="AI151" s="427">
        <v>731</v>
      </c>
      <c r="AJ151" s="47">
        <f t="shared" si="241"/>
        <v>731</v>
      </c>
      <c r="AK151" s="120">
        <v>10000</v>
      </c>
      <c r="AL151" s="47">
        <f t="shared" si="242"/>
        <v>7000</v>
      </c>
      <c r="AM151" s="43"/>
      <c r="AN151" s="47">
        <v>7000</v>
      </c>
      <c r="AO151" s="43"/>
      <c r="AP151" s="43"/>
      <c r="AQ151" s="47"/>
      <c r="AR151" s="48">
        <f t="shared" si="184"/>
        <v>7669</v>
      </c>
      <c r="AS151" s="49" t="e">
        <f>#REF!-AL151</f>
        <v>#REF!</v>
      </c>
    </row>
    <row r="152" spans="2:45" s="72" customFormat="1" ht="24.95" customHeight="1">
      <c r="B152" s="36"/>
      <c r="C152" s="346" t="s">
        <v>268</v>
      </c>
      <c r="D152" s="247">
        <f t="shared" ref="D152:J152" si="243">D153+D154+D155+D156+D157+D158+D159+D160+D161+D162</f>
        <v>10</v>
      </c>
      <c r="E152" s="43">
        <f t="shared" si="243"/>
        <v>0</v>
      </c>
      <c r="F152" s="43">
        <f t="shared" si="243"/>
        <v>0</v>
      </c>
      <c r="G152" s="43">
        <f t="shared" si="243"/>
        <v>0</v>
      </c>
      <c r="H152" s="43">
        <f t="shared" si="243"/>
        <v>0</v>
      </c>
      <c r="I152" s="43">
        <f t="shared" si="243"/>
        <v>10</v>
      </c>
      <c r="J152" s="43">
        <f t="shared" si="243"/>
        <v>48400</v>
      </c>
      <c r="K152" s="43">
        <f t="shared" ref="K152:M152" si="244">SUM(K153:K162)</f>
        <v>0</v>
      </c>
      <c r="L152" s="43">
        <f t="shared" si="244"/>
        <v>10</v>
      </c>
      <c r="M152" s="246">
        <f t="shared" si="244"/>
        <v>0</v>
      </c>
      <c r="N152" s="80"/>
      <c r="O152" s="80"/>
      <c r="P152" s="80"/>
      <c r="Q152" s="80"/>
      <c r="R152" s="80"/>
      <c r="S152" s="80"/>
      <c r="T152" s="80"/>
      <c r="U152" s="80"/>
      <c r="V152" s="80"/>
      <c r="W152" s="43">
        <f>W153+W154+W155+W156+W157+W158+W159+W160+W161+W162</f>
        <v>273715</v>
      </c>
      <c r="X152" s="235">
        <f t="shared" ref="X152" si="245">SUM(X153:X162)</f>
        <v>0</v>
      </c>
      <c r="Y152" s="43">
        <f t="shared" ref="Y152:AP152" si="246">Y153+Y154+Y155+Y156+Y157+Y158+Y159+Y160+Y161+Y162</f>
        <v>273480</v>
      </c>
      <c r="Z152" s="43">
        <f t="shared" si="246"/>
        <v>0</v>
      </c>
      <c r="AA152" s="43">
        <f t="shared" si="246"/>
        <v>179853.9</v>
      </c>
      <c r="AB152" s="235">
        <f t="shared" si="246"/>
        <v>0</v>
      </c>
      <c r="AC152" s="235">
        <f t="shared" si="246"/>
        <v>247302</v>
      </c>
      <c r="AD152" s="235">
        <f t="shared" si="246"/>
        <v>0</v>
      </c>
      <c r="AE152" s="235">
        <f t="shared" si="246"/>
        <v>0</v>
      </c>
      <c r="AF152" s="235">
        <f t="shared" si="246"/>
        <v>50947.888999999996</v>
      </c>
      <c r="AG152" s="235">
        <f t="shared" si="246"/>
        <v>40400</v>
      </c>
      <c r="AH152" s="235">
        <f t="shared" si="246"/>
        <v>11322.812999999998</v>
      </c>
      <c r="AI152" s="235">
        <f t="shared" si="246"/>
        <v>46428</v>
      </c>
      <c r="AJ152" s="43">
        <f t="shared" si="246"/>
        <v>97375.888999999996</v>
      </c>
      <c r="AK152" s="235">
        <f t="shared" si="246"/>
        <v>128519</v>
      </c>
      <c r="AL152" s="43">
        <f t="shared" si="246"/>
        <v>48400</v>
      </c>
      <c r="AM152" s="43">
        <f t="shared" si="246"/>
        <v>0</v>
      </c>
      <c r="AN152" s="43">
        <f t="shared" si="246"/>
        <v>48400</v>
      </c>
      <c r="AO152" s="43">
        <f t="shared" si="246"/>
        <v>0</v>
      </c>
      <c r="AP152" s="43">
        <f t="shared" si="246"/>
        <v>0</v>
      </c>
      <c r="AQ152" s="43"/>
      <c r="AR152" s="48">
        <f t="shared" si="184"/>
        <v>34078.010999999999</v>
      </c>
      <c r="AS152" s="49" t="e">
        <f>#REF!-AL152</f>
        <v>#REF!</v>
      </c>
    </row>
    <row r="153" spans="2:45" s="50" customFormat="1" ht="48.6" customHeight="1">
      <c r="B153" s="237">
        <v>1</v>
      </c>
      <c r="C153" s="102" t="s">
        <v>269</v>
      </c>
      <c r="D153" s="38">
        <v>1</v>
      </c>
      <c r="E153" s="47"/>
      <c r="F153" s="47"/>
      <c r="G153" s="68"/>
      <c r="H153" s="68"/>
      <c r="I153" s="47">
        <v>1</v>
      </c>
      <c r="J153" s="47">
        <f t="shared" ref="J153:J162" si="247">I153*AL153</f>
        <v>6000</v>
      </c>
      <c r="K153" s="47"/>
      <c r="L153" s="68">
        <v>1</v>
      </c>
      <c r="M153" s="88"/>
      <c r="N153" s="39" t="s">
        <v>276</v>
      </c>
      <c r="O153" s="39" t="s">
        <v>273</v>
      </c>
      <c r="P153" s="39" t="s">
        <v>274</v>
      </c>
      <c r="Q153" s="40">
        <v>7866287</v>
      </c>
      <c r="R153" s="80"/>
      <c r="S153" s="39"/>
      <c r="T153" s="39" t="s">
        <v>275</v>
      </c>
      <c r="U153" s="90"/>
      <c r="V153" s="39" t="s">
        <v>277</v>
      </c>
      <c r="W153" s="111">
        <v>35544</v>
      </c>
      <c r="X153" s="216"/>
      <c r="Y153" s="111">
        <v>35544</v>
      </c>
      <c r="Z153" s="235"/>
      <c r="AA153" s="46">
        <f>24200*0.9</f>
        <v>21780</v>
      </c>
      <c r="AB153" s="235"/>
      <c r="AC153" s="218">
        <f t="shared" ref="AC153:AC160" si="248">Y153*0.9</f>
        <v>31989.600000000002</v>
      </c>
      <c r="AD153" s="235"/>
      <c r="AE153" s="235"/>
      <c r="AF153" s="120">
        <v>11000</v>
      </c>
      <c r="AG153" s="213">
        <v>6000</v>
      </c>
      <c r="AH153" s="221">
        <v>86.244</v>
      </c>
      <c r="AI153" s="213">
        <v>3852</v>
      </c>
      <c r="AJ153" s="47">
        <f t="shared" ref="AJ153:AJ162" si="249">AF153+AI153</f>
        <v>14852</v>
      </c>
      <c r="AK153" s="217">
        <v>7172</v>
      </c>
      <c r="AL153" s="47">
        <f t="shared" si="242"/>
        <v>6000</v>
      </c>
      <c r="AM153" s="43"/>
      <c r="AN153" s="46">
        <v>6000</v>
      </c>
      <c r="AO153" s="43"/>
      <c r="AP153" s="43"/>
      <c r="AQ153" s="47"/>
      <c r="AR153" s="48">
        <f t="shared" si="184"/>
        <v>928</v>
      </c>
      <c r="AS153" s="49" t="e">
        <f>#REF!-AL153</f>
        <v>#REF!</v>
      </c>
    </row>
    <row r="154" spans="2:45" s="50" customFormat="1" ht="48.6" customHeight="1">
      <c r="B154" s="237">
        <f>B153+1</f>
        <v>2</v>
      </c>
      <c r="C154" s="102" t="s">
        <v>270</v>
      </c>
      <c r="D154" s="38">
        <v>1</v>
      </c>
      <c r="E154" s="47"/>
      <c r="F154" s="47"/>
      <c r="G154" s="68"/>
      <c r="H154" s="68"/>
      <c r="I154" s="47">
        <v>1</v>
      </c>
      <c r="J154" s="47">
        <f t="shared" si="247"/>
        <v>4000</v>
      </c>
      <c r="K154" s="47"/>
      <c r="L154" s="68">
        <v>1</v>
      </c>
      <c r="M154" s="88"/>
      <c r="N154" s="39" t="s">
        <v>276</v>
      </c>
      <c r="O154" s="39" t="s">
        <v>273</v>
      </c>
      <c r="P154" s="39" t="s">
        <v>274</v>
      </c>
      <c r="Q154" s="40">
        <v>7868850</v>
      </c>
      <c r="R154" s="80"/>
      <c r="S154" s="39"/>
      <c r="T154" s="39" t="s">
        <v>275</v>
      </c>
      <c r="U154" s="90"/>
      <c r="V154" s="39" t="s">
        <v>278</v>
      </c>
      <c r="W154" s="111">
        <v>37654</v>
      </c>
      <c r="X154" s="216"/>
      <c r="Y154" s="111">
        <v>37654</v>
      </c>
      <c r="Z154" s="235"/>
      <c r="AA154" s="46">
        <f>24271*0.9</f>
        <v>21843.9</v>
      </c>
      <c r="AB154" s="235"/>
      <c r="AC154" s="218">
        <f t="shared" si="248"/>
        <v>33888.6</v>
      </c>
      <c r="AD154" s="235"/>
      <c r="AE154" s="235"/>
      <c r="AF154" s="120">
        <v>12947.888999999999</v>
      </c>
      <c r="AG154" s="213">
        <v>5000</v>
      </c>
      <c r="AH154" s="221">
        <v>113.047</v>
      </c>
      <c r="AI154" s="213">
        <v>3291</v>
      </c>
      <c r="AJ154" s="47">
        <f t="shared" si="249"/>
        <v>16238.888999999999</v>
      </c>
      <c r="AK154" s="217">
        <v>6172</v>
      </c>
      <c r="AL154" s="47">
        <f t="shared" si="242"/>
        <v>4000</v>
      </c>
      <c r="AM154" s="43"/>
      <c r="AN154" s="46">
        <v>4000</v>
      </c>
      <c r="AO154" s="43"/>
      <c r="AP154" s="43"/>
      <c r="AQ154" s="47"/>
      <c r="AR154" s="48">
        <f t="shared" si="184"/>
        <v>1605.0110000000022</v>
      </c>
      <c r="AS154" s="49" t="e">
        <f>#REF!-AL154</f>
        <v>#REF!</v>
      </c>
    </row>
    <row r="155" spans="2:45" s="50" customFormat="1" ht="48.6" customHeight="1">
      <c r="B155" s="237">
        <f t="shared" ref="B155:B203" si="250">B154+1</f>
        <v>3</v>
      </c>
      <c r="C155" s="102" t="s">
        <v>271</v>
      </c>
      <c r="D155" s="38">
        <v>1</v>
      </c>
      <c r="E155" s="47"/>
      <c r="F155" s="47"/>
      <c r="G155" s="68"/>
      <c r="H155" s="68"/>
      <c r="I155" s="47">
        <v>1</v>
      </c>
      <c r="J155" s="47">
        <f t="shared" si="247"/>
        <v>3500</v>
      </c>
      <c r="K155" s="47"/>
      <c r="L155" s="68">
        <v>1</v>
      </c>
      <c r="M155" s="88"/>
      <c r="N155" s="39" t="s">
        <v>276</v>
      </c>
      <c r="O155" s="39" t="s">
        <v>273</v>
      </c>
      <c r="P155" s="39" t="s">
        <v>274</v>
      </c>
      <c r="Q155" s="40">
        <v>7866289</v>
      </c>
      <c r="R155" s="80"/>
      <c r="S155" s="80"/>
      <c r="T155" s="39" t="s">
        <v>275</v>
      </c>
      <c r="U155" s="90"/>
      <c r="V155" s="39" t="s">
        <v>279</v>
      </c>
      <c r="W155" s="111">
        <v>31807</v>
      </c>
      <c r="X155" s="216"/>
      <c r="Y155" s="111">
        <v>31807</v>
      </c>
      <c r="Z155" s="235"/>
      <c r="AA155" s="46">
        <f>26900*0.9</f>
        <v>24210</v>
      </c>
      <c r="AB155" s="235"/>
      <c r="AC155" s="218">
        <f t="shared" si="248"/>
        <v>28626.3</v>
      </c>
      <c r="AD155" s="235"/>
      <c r="AE155" s="235"/>
      <c r="AF155" s="120">
        <v>12000</v>
      </c>
      <c r="AG155" s="213">
        <v>6000</v>
      </c>
      <c r="AH155" s="213">
        <v>1438.9839999999999</v>
      </c>
      <c r="AI155" s="213">
        <v>8615</v>
      </c>
      <c r="AJ155" s="47">
        <f t="shared" si="249"/>
        <v>20615</v>
      </c>
      <c r="AK155" s="217">
        <v>8997</v>
      </c>
      <c r="AL155" s="47">
        <f t="shared" si="242"/>
        <v>3500</v>
      </c>
      <c r="AM155" s="43"/>
      <c r="AN155" s="46">
        <v>3500</v>
      </c>
      <c r="AO155" s="43"/>
      <c r="AP155" s="43"/>
      <c r="AQ155" s="47"/>
      <c r="AR155" s="48">
        <f t="shared" si="184"/>
        <v>95</v>
      </c>
      <c r="AS155" s="49" t="e">
        <f>#REF!-AL155</f>
        <v>#REF!</v>
      </c>
    </row>
    <row r="156" spans="2:45" s="50" customFormat="1" ht="48.6" customHeight="1">
      <c r="B156" s="237">
        <f t="shared" si="250"/>
        <v>4</v>
      </c>
      <c r="C156" s="102" t="s">
        <v>272</v>
      </c>
      <c r="D156" s="38">
        <v>1</v>
      </c>
      <c r="E156" s="47"/>
      <c r="F156" s="47"/>
      <c r="G156" s="68"/>
      <c r="H156" s="68"/>
      <c r="I156" s="47">
        <v>1</v>
      </c>
      <c r="J156" s="47">
        <f t="shared" si="247"/>
        <v>4800</v>
      </c>
      <c r="K156" s="47"/>
      <c r="L156" s="68">
        <v>1</v>
      </c>
      <c r="M156" s="88"/>
      <c r="N156" s="39" t="s">
        <v>276</v>
      </c>
      <c r="O156" s="39" t="s">
        <v>273</v>
      </c>
      <c r="P156" s="39" t="s">
        <v>274</v>
      </c>
      <c r="Q156" s="40">
        <v>7871803</v>
      </c>
      <c r="R156" s="80"/>
      <c r="S156" s="80"/>
      <c r="T156" s="39" t="s">
        <v>275</v>
      </c>
      <c r="U156" s="90"/>
      <c r="V156" s="39" t="s">
        <v>280</v>
      </c>
      <c r="W156" s="111">
        <v>41975</v>
      </c>
      <c r="X156" s="216"/>
      <c r="Y156" s="111">
        <v>41975</v>
      </c>
      <c r="Z156" s="235"/>
      <c r="AA156" s="46">
        <f>30700*0.9</f>
        <v>27630</v>
      </c>
      <c r="AB156" s="235"/>
      <c r="AC156" s="218">
        <f t="shared" si="248"/>
        <v>37777.5</v>
      </c>
      <c r="AD156" s="235"/>
      <c r="AE156" s="235"/>
      <c r="AF156" s="120">
        <v>15000</v>
      </c>
      <c r="AG156" s="213">
        <v>7000</v>
      </c>
      <c r="AH156" s="213">
        <v>1719.0039999999999</v>
      </c>
      <c r="AI156" s="213">
        <v>7797</v>
      </c>
      <c r="AJ156" s="47">
        <f t="shared" si="249"/>
        <v>22797</v>
      </c>
      <c r="AK156" s="217">
        <v>8728</v>
      </c>
      <c r="AL156" s="47">
        <f t="shared" si="242"/>
        <v>4800</v>
      </c>
      <c r="AM156" s="43"/>
      <c r="AN156" s="46">
        <f>6000-1200</f>
        <v>4800</v>
      </c>
      <c r="AO156" s="43"/>
      <c r="AP156" s="43"/>
      <c r="AQ156" s="47"/>
      <c r="AR156" s="48">
        <f t="shared" ref="AR156:AR187" si="251">AA156-(AF156+AI156+AL156)</f>
        <v>33</v>
      </c>
      <c r="AS156" s="49" t="e">
        <f>#REF!-AL156</f>
        <v>#REF!</v>
      </c>
    </row>
    <row r="157" spans="2:45" s="50" customFormat="1" ht="48.6" customHeight="1">
      <c r="B157" s="237">
        <f t="shared" si="250"/>
        <v>5</v>
      </c>
      <c r="C157" s="102" t="s">
        <v>912</v>
      </c>
      <c r="D157" s="38">
        <v>1</v>
      </c>
      <c r="E157" s="47"/>
      <c r="F157" s="47"/>
      <c r="G157" s="68"/>
      <c r="H157" s="68"/>
      <c r="I157" s="47">
        <v>1</v>
      </c>
      <c r="J157" s="47">
        <f t="shared" si="247"/>
        <v>7000</v>
      </c>
      <c r="K157" s="47"/>
      <c r="L157" s="68">
        <v>1</v>
      </c>
      <c r="M157" s="88"/>
      <c r="N157" s="39" t="s">
        <v>276</v>
      </c>
      <c r="O157" s="39" t="s">
        <v>281</v>
      </c>
      <c r="P157" s="39" t="s">
        <v>274</v>
      </c>
      <c r="Q157" s="40">
        <v>7906801</v>
      </c>
      <c r="R157" s="80"/>
      <c r="S157" s="39" t="s">
        <v>282</v>
      </c>
      <c r="T157" s="39" t="s">
        <v>114</v>
      </c>
      <c r="U157" s="39"/>
      <c r="V157" s="93" t="s">
        <v>288</v>
      </c>
      <c r="W157" s="111">
        <v>26408</v>
      </c>
      <c r="X157" s="216"/>
      <c r="Y157" s="111">
        <v>26400</v>
      </c>
      <c r="Z157" s="235"/>
      <c r="AA157" s="47">
        <v>16690</v>
      </c>
      <c r="AB157" s="235"/>
      <c r="AC157" s="218">
        <f t="shared" si="248"/>
        <v>23760</v>
      </c>
      <c r="AD157" s="235"/>
      <c r="AE157" s="235"/>
      <c r="AF157" s="235"/>
      <c r="AG157" s="250">
        <f>2400+1600</f>
        <v>4000</v>
      </c>
      <c r="AH157" s="213">
        <v>805.49400000000003</v>
      </c>
      <c r="AI157" s="250">
        <v>4000</v>
      </c>
      <c r="AJ157" s="47">
        <f t="shared" si="249"/>
        <v>4000</v>
      </c>
      <c r="AK157" s="120">
        <v>19760</v>
      </c>
      <c r="AL157" s="47">
        <f t="shared" si="242"/>
        <v>7000</v>
      </c>
      <c r="AM157" s="43"/>
      <c r="AN157" s="46">
        <v>7000</v>
      </c>
      <c r="AO157" s="43"/>
      <c r="AP157" s="43"/>
      <c r="AQ157" s="47"/>
      <c r="AR157" s="48">
        <f t="shared" si="251"/>
        <v>5690</v>
      </c>
      <c r="AS157" s="49" t="e">
        <f>#REF!-AL157</f>
        <v>#REF!</v>
      </c>
    </row>
    <row r="158" spans="2:45" s="50" customFormat="1" ht="48.6" customHeight="1">
      <c r="B158" s="237">
        <f t="shared" si="250"/>
        <v>6</v>
      </c>
      <c r="C158" s="102" t="s">
        <v>913</v>
      </c>
      <c r="D158" s="38">
        <v>1</v>
      </c>
      <c r="E158" s="47"/>
      <c r="F158" s="47"/>
      <c r="G158" s="68"/>
      <c r="H158" s="68"/>
      <c r="I158" s="47">
        <v>1</v>
      </c>
      <c r="J158" s="47">
        <f t="shared" si="247"/>
        <v>3100</v>
      </c>
      <c r="K158" s="47"/>
      <c r="L158" s="68">
        <v>1</v>
      </c>
      <c r="M158" s="88"/>
      <c r="N158" s="39" t="s">
        <v>276</v>
      </c>
      <c r="O158" s="39" t="s">
        <v>281</v>
      </c>
      <c r="P158" s="39" t="s">
        <v>274</v>
      </c>
      <c r="Q158" s="40">
        <v>7918959</v>
      </c>
      <c r="R158" s="80"/>
      <c r="S158" s="39" t="s">
        <v>283</v>
      </c>
      <c r="T158" s="39" t="s">
        <v>114</v>
      </c>
      <c r="U158" s="39"/>
      <c r="V158" s="93" t="s">
        <v>289</v>
      </c>
      <c r="W158" s="111">
        <v>21912</v>
      </c>
      <c r="X158" s="216"/>
      <c r="Y158" s="111">
        <v>21900</v>
      </c>
      <c r="Z158" s="235"/>
      <c r="AA158" s="47">
        <v>6500</v>
      </c>
      <c r="AB158" s="235"/>
      <c r="AC158" s="218">
        <f t="shared" si="248"/>
        <v>19710</v>
      </c>
      <c r="AD158" s="235"/>
      <c r="AE158" s="235"/>
      <c r="AF158" s="235"/>
      <c r="AG158" s="250">
        <v>2400</v>
      </c>
      <c r="AH158" s="221">
        <v>781.27800000000002</v>
      </c>
      <c r="AI158" s="250">
        <v>3400</v>
      </c>
      <c r="AJ158" s="47">
        <f t="shared" si="249"/>
        <v>3400</v>
      </c>
      <c r="AK158" s="120">
        <v>17310</v>
      </c>
      <c r="AL158" s="47">
        <f t="shared" si="242"/>
        <v>3100</v>
      </c>
      <c r="AM158" s="43"/>
      <c r="AN158" s="46">
        <v>3100</v>
      </c>
      <c r="AO158" s="43"/>
      <c r="AP158" s="43"/>
      <c r="AQ158" s="47"/>
      <c r="AR158" s="48">
        <f t="shared" si="251"/>
        <v>0</v>
      </c>
      <c r="AS158" s="49" t="e">
        <f>#REF!-AL158</f>
        <v>#REF!</v>
      </c>
    </row>
    <row r="159" spans="2:45" s="50" customFormat="1" ht="48.6" customHeight="1">
      <c r="B159" s="237">
        <f t="shared" si="250"/>
        <v>7</v>
      </c>
      <c r="C159" s="102" t="s">
        <v>914</v>
      </c>
      <c r="D159" s="38">
        <v>1</v>
      </c>
      <c r="E159" s="47"/>
      <c r="F159" s="47"/>
      <c r="G159" s="68"/>
      <c r="H159" s="68"/>
      <c r="I159" s="47">
        <v>1</v>
      </c>
      <c r="J159" s="47">
        <f t="shared" si="247"/>
        <v>5000</v>
      </c>
      <c r="K159" s="47"/>
      <c r="L159" s="68">
        <v>1</v>
      </c>
      <c r="M159" s="88"/>
      <c r="N159" s="39" t="s">
        <v>276</v>
      </c>
      <c r="O159" s="39" t="s">
        <v>281</v>
      </c>
      <c r="P159" s="39" t="s">
        <v>274</v>
      </c>
      <c r="Q159" s="40">
        <v>7917192</v>
      </c>
      <c r="R159" s="80"/>
      <c r="S159" s="39" t="s">
        <v>284</v>
      </c>
      <c r="T159" s="39" t="s">
        <v>114</v>
      </c>
      <c r="U159" s="39"/>
      <c r="V159" s="93" t="s">
        <v>290</v>
      </c>
      <c r="W159" s="111">
        <v>24272</v>
      </c>
      <c r="X159" s="216"/>
      <c r="Y159" s="111">
        <v>24200</v>
      </c>
      <c r="Z159" s="235"/>
      <c r="AA159" s="47">
        <v>17200</v>
      </c>
      <c r="AB159" s="235"/>
      <c r="AC159" s="218">
        <f t="shared" si="248"/>
        <v>21780</v>
      </c>
      <c r="AD159" s="235"/>
      <c r="AE159" s="235"/>
      <c r="AF159" s="235"/>
      <c r="AG159" s="250">
        <v>2400</v>
      </c>
      <c r="AH159" s="221">
        <v>792.71</v>
      </c>
      <c r="AI159" s="250">
        <v>3400</v>
      </c>
      <c r="AJ159" s="47">
        <f t="shared" si="249"/>
        <v>3400</v>
      </c>
      <c r="AK159" s="120">
        <v>19380</v>
      </c>
      <c r="AL159" s="47">
        <f t="shared" si="242"/>
        <v>5000</v>
      </c>
      <c r="AM159" s="43"/>
      <c r="AN159" s="46">
        <v>5000</v>
      </c>
      <c r="AO159" s="43"/>
      <c r="AP159" s="43"/>
      <c r="AQ159" s="47"/>
      <c r="AR159" s="48">
        <f t="shared" si="251"/>
        <v>8800</v>
      </c>
      <c r="AS159" s="49" t="e">
        <f>#REF!-AL159</f>
        <v>#REF!</v>
      </c>
    </row>
    <row r="160" spans="2:45" s="50" customFormat="1" ht="48.6" customHeight="1">
      <c r="B160" s="237">
        <f t="shared" si="250"/>
        <v>8</v>
      </c>
      <c r="C160" s="102" t="s">
        <v>915</v>
      </c>
      <c r="D160" s="38">
        <v>1</v>
      </c>
      <c r="E160" s="47"/>
      <c r="F160" s="47"/>
      <c r="G160" s="68"/>
      <c r="H160" s="68"/>
      <c r="I160" s="47">
        <v>1</v>
      </c>
      <c r="J160" s="47">
        <f t="shared" si="247"/>
        <v>7000</v>
      </c>
      <c r="K160" s="47"/>
      <c r="L160" s="68">
        <v>1</v>
      </c>
      <c r="M160" s="88"/>
      <c r="N160" s="39" t="s">
        <v>276</v>
      </c>
      <c r="O160" s="39" t="s">
        <v>281</v>
      </c>
      <c r="P160" s="39" t="s">
        <v>274</v>
      </c>
      <c r="Q160" s="40">
        <v>7908787</v>
      </c>
      <c r="R160" s="80"/>
      <c r="S160" s="39" t="s">
        <v>285</v>
      </c>
      <c r="T160" s="39" t="s">
        <v>114</v>
      </c>
      <c r="U160" s="39"/>
      <c r="V160" s="93" t="s">
        <v>291</v>
      </c>
      <c r="W160" s="111">
        <v>21875</v>
      </c>
      <c r="X160" s="216"/>
      <c r="Y160" s="111">
        <v>21800</v>
      </c>
      <c r="Z160" s="235"/>
      <c r="AA160" s="111">
        <v>21800</v>
      </c>
      <c r="AB160" s="235"/>
      <c r="AC160" s="218">
        <f t="shared" si="248"/>
        <v>19620</v>
      </c>
      <c r="AD160" s="235"/>
      <c r="AE160" s="235"/>
      <c r="AF160" s="235"/>
      <c r="AG160" s="250">
        <v>2400</v>
      </c>
      <c r="AH160" s="221">
        <v>386.05200000000002</v>
      </c>
      <c r="AI160" s="250">
        <v>3400</v>
      </c>
      <c r="AJ160" s="47">
        <f t="shared" si="249"/>
        <v>3400</v>
      </c>
      <c r="AK160" s="120">
        <v>17220</v>
      </c>
      <c r="AL160" s="47">
        <f t="shared" si="242"/>
        <v>7000</v>
      </c>
      <c r="AM160" s="43"/>
      <c r="AN160" s="46">
        <v>7000</v>
      </c>
      <c r="AO160" s="43"/>
      <c r="AP160" s="43"/>
      <c r="AQ160" s="47"/>
      <c r="AR160" s="48">
        <f t="shared" si="251"/>
        <v>11400</v>
      </c>
      <c r="AS160" s="49" t="e">
        <f>#REF!-AL160</f>
        <v>#REF!</v>
      </c>
    </row>
    <row r="161" spans="2:45" s="50" customFormat="1" ht="48.6" customHeight="1">
      <c r="B161" s="237">
        <f t="shared" si="250"/>
        <v>9</v>
      </c>
      <c r="C161" s="102" t="s">
        <v>916</v>
      </c>
      <c r="D161" s="38">
        <v>1</v>
      </c>
      <c r="E161" s="47"/>
      <c r="F161" s="47"/>
      <c r="G161" s="68"/>
      <c r="H161" s="68"/>
      <c r="I161" s="47">
        <v>1</v>
      </c>
      <c r="J161" s="47">
        <f t="shared" si="247"/>
        <v>1000</v>
      </c>
      <c r="K161" s="47"/>
      <c r="L161" s="68">
        <v>1</v>
      </c>
      <c r="M161" s="88"/>
      <c r="N161" s="39" t="s">
        <v>276</v>
      </c>
      <c r="O161" s="39" t="s">
        <v>281</v>
      </c>
      <c r="P161" s="39" t="s">
        <v>274</v>
      </c>
      <c r="Q161" s="40">
        <v>7917194</v>
      </c>
      <c r="R161" s="80"/>
      <c r="S161" s="39" t="s">
        <v>286</v>
      </c>
      <c r="T161" s="39" t="s">
        <v>114</v>
      </c>
      <c r="U161" s="39"/>
      <c r="V161" s="93" t="s">
        <v>292</v>
      </c>
      <c r="W161" s="111">
        <v>11751</v>
      </c>
      <c r="X161" s="216"/>
      <c r="Y161" s="111">
        <v>11700</v>
      </c>
      <c r="Z161" s="235"/>
      <c r="AA161" s="111">
        <v>7100</v>
      </c>
      <c r="AB161" s="235"/>
      <c r="AC161" s="216">
        <v>11700</v>
      </c>
      <c r="AD161" s="235"/>
      <c r="AE161" s="235"/>
      <c r="AF161" s="235"/>
      <c r="AG161" s="250">
        <v>2400</v>
      </c>
      <c r="AH161" s="221">
        <v>2400</v>
      </c>
      <c r="AI161" s="250">
        <v>5873</v>
      </c>
      <c r="AJ161" s="47">
        <f t="shared" si="249"/>
        <v>5873</v>
      </c>
      <c r="AK161" s="120">
        <v>8130</v>
      </c>
      <c r="AL161" s="47">
        <f t="shared" si="242"/>
        <v>1000</v>
      </c>
      <c r="AM161" s="43"/>
      <c r="AN161" s="47">
        <v>1000</v>
      </c>
      <c r="AO161" s="43"/>
      <c r="AP161" s="43"/>
      <c r="AQ161" s="47"/>
      <c r="AR161" s="48">
        <f t="shared" si="251"/>
        <v>227</v>
      </c>
      <c r="AS161" s="49" t="e">
        <f>#REF!-AL161</f>
        <v>#REF!</v>
      </c>
    </row>
    <row r="162" spans="2:45" s="50" customFormat="1" ht="48.6" customHeight="1">
      <c r="B162" s="237">
        <f t="shared" si="250"/>
        <v>10</v>
      </c>
      <c r="C162" s="102" t="s">
        <v>917</v>
      </c>
      <c r="D162" s="38">
        <v>1</v>
      </c>
      <c r="E162" s="47"/>
      <c r="F162" s="47"/>
      <c r="G162" s="68"/>
      <c r="H162" s="68"/>
      <c r="I162" s="47">
        <v>1</v>
      </c>
      <c r="J162" s="47">
        <f t="shared" si="247"/>
        <v>7000</v>
      </c>
      <c r="K162" s="47"/>
      <c r="L162" s="68">
        <v>1</v>
      </c>
      <c r="M162" s="88"/>
      <c r="N162" s="39" t="s">
        <v>276</v>
      </c>
      <c r="O162" s="39" t="s">
        <v>281</v>
      </c>
      <c r="P162" s="39" t="s">
        <v>274</v>
      </c>
      <c r="Q162" s="40">
        <v>7894913</v>
      </c>
      <c r="R162" s="80"/>
      <c r="S162" s="39" t="s">
        <v>287</v>
      </c>
      <c r="T162" s="39" t="s">
        <v>114</v>
      </c>
      <c r="U162" s="39"/>
      <c r="V162" s="93" t="s">
        <v>293</v>
      </c>
      <c r="W162" s="111">
        <v>20517</v>
      </c>
      <c r="X162" s="216"/>
      <c r="Y162" s="111">
        <v>20500</v>
      </c>
      <c r="Z162" s="235"/>
      <c r="AA162" s="47">
        <v>15100</v>
      </c>
      <c r="AB162" s="235"/>
      <c r="AC162" s="218">
        <f>Y162*0.9</f>
        <v>18450</v>
      </c>
      <c r="AD162" s="235"/>
      <c r="AE162" s="235"/>
      <c r="AF162" s="235"/>
      <c r="AG162" s="250">
        <v>2800</v>
      </c>
      <c r="AH162" s="221">
        <v>2800</v>
      </c>
      <c r="AI162" s="250">
        <v>2800</v>
      </c>
      <c r="AJ162" s="47">
        <f t="shared" si="249"/>
        <v>2800</v>
      </c>
      <c r="AK162" s="120">
        <v>15650</v>
      </c>
      <c r="AL162" s="47">
        <f t="shared" si="242"/>
        <v>7000</v>
      </c>
      <c r="AM162" s="43"/>
      <c r="AN162" s="46">
        <v>7000</v>
      </c>
      <c r="AO162" s="43"/>
      <c r="AP162" s="43"/>
      <c r="AQ162" s="47"/>
      <c r="AR162" s="48">
        <f t="shared" si="251"/>
        <v>5300</v>
      </c>
      <c r="AS162" s="49" t="e">
        <f>#REF!-AL162</f>
        <v>#REF!</v>
      </c>
    </row>
    <row r="163" spans="2:45" s="50" customFormat="1" ht="23.45" customHeight="1">
      <c r="B163" s="89"/>
      <c r="C163" s="346" t="s">
        <v>304</v>
      </c>
      <c r="D163" s="247">
        <f t="shared" ref="D163:J163" si="252">D164+D165+D166+D167+D168+D169</f>
        <v>6</v>
      </c>
      <c r="E163" s="43">
        <f t="shared" si="252"/>
        <v>0</v>
      </c>
      <c r="F163" s="43">
        <f t="shared" si="252"/>
        <v>0</v>
      </c>
      <c r="G163" s="43">
        <f t="shared" si="252"/>
        <v>0</v>
      </c>
      <c r="H163" s="43">
        <f t="shared" si="252"/>
        <v>0</v>
      </c>
      <c r="I163" s="43">
        <f t="shared" si="252"/>
        <v>6</v>
      </c>
      <c r="J163" s="43">
        <f t="shared" si="252"/>
        <v>11100</v>
      </c>
      <c r="K163" s="43">
        <f t="shared" ref="K163:M163" si="253">SUM(K164:K169)</f>
        <v>0</v>
      </c>
      <c r="L163" s="43">
        <f t="shared" si="253"/>
        <v>6</v>
      </c>
      <c r="M163" s="246">
        <f t="shared" si="253"/>
        <v>0</v>
      </c>
      <c r="N163" s="39"/>
      <c r="O163" s="39"/>
      <c r="P163" s="39"/>
      <c r="Q163" s="39"/>
      <c r="R163" s="39"/>
      <c r="S163" s="39"/>
      <c r="T163" s="39"/>
      <c r="U163" s="39"/>
      <c r="V163" s="39"/>
      <c r="W163" s="43">
        <f>W164+W165+W166+W167+W168+W169</f>
        <v>129088</v>
      </c>
      <c r="X163" s="235">
        <f t="shared" ref="X163" si="254">SUM(X164:X169)</f>
        <v>0</v>
      </c>
      <c r="Y163" s="43">
        <f t="shared" ref="Y163" si="255">SUM(Y164:Y169)</f>
        <v>128460</v>
      </c>
      <c r="Z163" s="235">
        <f t="shared" ref="Z163:AN163" si="256">SUM(Z164:Z169)</f>
        <v>0</v>
      </c>
      <c r="AA163" s="43">
        <f t="shared" si="256"/>
        <v>93100</v>
      </c>
      <c r="AB163" s="235">
        <f t="shared" si="256"/>
        <v>0</v>
      </c>
      <c r="AC163" s="235">
        <f t="shared" si="256"/>
        <v>116884</v>
      </c>
      <c r="AD163" s="235">
        <f t="shared" si="256"/>
        <v>0</v>
      </c>
      <c r="AE163" s="235">
        <f t="shared" si="256"/>
        <v>0</v>
      </c>
      <c r="AF163" s="235">
        <f t="shared" si="256"/>
        <v>38654.061999999998</v>
      </c>
      <c r="AG163" s="235">
        <f t="shared" si="256"/>
        <v>28400</v>
      </c>
      <c r="AH163" s="235">
        <f t="shared" si="256"/>
        <v>5784.9030000000002</v>
      </c>
      <c r="AI163" s="235">
        <f t="shared" si="256"/>
        <v>28407</v>
      </c>
      <c r="AJ163" s="43">
        <f t="shared" si="256"/>
        <v>67061.062000000005</v>
      </c>
      <c r="AK163" s="235">
        <f t="shared" si="256"/>
        <v>30000</v>
      </c>
      <c r="AL163" s="43">
        <f t="shared" si="256"/>
        <v>11100</v>
      </c>
      <c r="AM163" s="43">
        <f t="shared" si="256"/>
        <v>0</v>
      </c>
      <c r="AN163" s="43">
        <f t="shared" si="256"/>
        <v>11100</v>
      </c>
      <c r="AO163" s="43">
        <f t="shared" ref="AO163" si="257">SUM(AO164:AO169)</f>
        <v>0</v>
      </c>
      <c r="AP163" s="43"/>
      <c r="AQ163" s="47"/>
      <c r="AR163" s="48">
        <f t="shared" si="251"/>
        <v>14938.937999999995</v>
      </c>
      <c r="AS163" s="49" t="e">
        <f>#REF!-AL163</f>
        <v>#REF!</v>
      </c>
    </row>
    <row r="164" spans="2:45" s="50" customFormat="1" ht="118.5" customHeight="1">
      <c r="B164" s="237">
        <f t="shared" si="250"/>
        <v>1</v>
      </c>
      <c r="C164" s="102" t="s">
        <v>334</v>
      </c>
      <c r="D164" s="93">
        <v>1</v>
      </c>
      <c r="E164" s="47"/>
      <c r="F164" s="47"/>
      <c r="G164" s="47"/>
      <c r="H164" s="47"/>
      <c r="I164" s="47">
        <v>1</v>
      </c>
      <c r="J164" s="47">
        <f t="shared" ref="J164:J169" si="258">I164*AL164</f>
        <v>2000</v>
      </c>
      <c r="K164" s="47"/>
      <c r="L164" s="47">
        <v>1</v>
      </c>
      <c r="M164" s="88"/>
      <c r="N164" s="39" t="s">
        <v>222</v>
      </c>
      <c r="O164" s="39" t="s">
        <v>324</v>
      </c>
      <c r="P164" s="39" t="s">
        <v>303</v>
      </c>
      <c r="Q164" s="40">
        <v>7875891</v>
      </c>
      <c r="R164" s="80"/>
      <c r="S164" s="39" t="s">
        <v>338</v>
      </c>
      <c r="T164" s="39" t="s">
        <v>170</v>
      </c>
      <c r="U164" s="39"/>
      <c r="V164" s="39" t="s">
        <v>826</v>
      </c>
      <c r="W164" s="68">
        <v>19125</v>
      </c>
      <c r="X164" s="250"/>
      <c r="Y164" s="68">
        <v>19125</v>
      </c>
      <c r="Z164" s="235"/>
      <c r="AA164" s="47">
        <v>14500</v>
      </c>
      <c r="AB164" s="235"/>
      <c r="AC164" s="218">
        <f>Y164*0.9</f>
        <v>17212.5</v>
      </c>
      <c r="AD164" s="235"/>
      <c r="AE164" s="235"/>
      <c r="AF164" s="250">
        <v>7302.1949999999997</v>
      </c>
      <c r="AG164" s="213">
        <v>3000</v>
      </c>
      <c r="AH164" s="213">
        <v>107.759</v>
      </c>
      <c r="AI164" s="213">
        <f>3500+698</f>
        <v>4198</v>
      </c>
      <c r="AJ164" s="47">
        <f t="shared" ref="AJ164:AJ169" si="259">AF164+AI164</f>
        <v>11500.195</v>
      </c>
      <c r="AK164" s="120">
        <v>3400</v>
      </c>
      <c r="AL164" s="47">
        <f t="shared" si="242"/>
        <v>2000</v>
      </c>
      <c r="AM164" s="43"/>
      <c r="AN164" s="47">
        <v>2000</v>
      </c>
      <c r="AO164" s="43"/>
      <c r="AP164" s="43"/>
      <c r="AQ164" s="47"/>
      <c r="AR164" s="48">
        <f t="shared" si="251"/>
        <v>999.80500000000029</v>
      </c>
      <c r="AS164" s="49" t="e">
        <f>#REF!-AL164</f>
        <v>#REF!</v>
      </c>
    </row>
    <row r="165" spans="2:45" s="50" customFormat="1" ht="116.25" customHeight="1">
      <c r="B165" s="237">
        <f t="shared" si="250"/>
        <v>2</v>
      </c>
      <c r="C165" s="102" t="s">
        <v>335</v>
      </c>
      <c r="D165" s="93">
        <v>1</v>
      </c>
      <c r="E165" s="47"/>
      <c r="F165" s="47"/>
      <c r="G165" s="47"/>
      <c r="H165" s="47"/>
      <c r="I165" s="47">
        <v>1</v>
      </c>
      <c r="J165" s="47">
        <f t="shared" si="258"/>
        <v>1800</v>
      </c>
      <c r="K165" s="47"/>
      <c r="L165" s="47">
        <v>1</v>
      </c>
      <c r="M165" s="88"/>
      <c r="N165" s="39" t="s">
        <v>222</v>
      </c>
      <c r="O165" s="39" t="s">
        <v>324</v>
      </c>
      <c r="P165" s="39" t="s">
        <v>303</v>
      </c>
      <c r="Q165" s="40">
        <v>7875888</v>
      </c>
      <c r="R165" s="80"/>
      <c r="S165" s="39" t="s">
        <v>339</v>
      </c>
      <c r="T165" s="39" t="s">
        <v>170</v>
      </c>
      <c r="U165" s="39"/>
      <c r="V165" s="39" t="s">
        <v>827</v>
      </c>
      <c r="W165" s="68">
        <v>37179</v>
      </c>
      <c r="X165" s="250"/>
      <c r="Y165" s="68">
        <v>37179</v>
      </c>
      <c r="Z165" s="235"/>
      <c r="AA165" s="47">
        <v>29900</v>
      </c>
      <c r="AB165" s="235"/>
      <c r="AC165" s="218">
        <f>Y165*0.9</f>
        <v>33461.1</v>
      </c>
      <c r="AD165" s="235"/>
      <c r="AE165" s="235"/>
      <c r="AF165" s="120">
        <v>14960.763000000001</v>
      </c>
      <c r="AG165" s="213">
        <v>6000</v>
      </c>
      <c r="AH165" s="213">
        <v>2412.3270000000002</v>
      </c>
      <c r="AI165" s="422">
        <f>1300+3000</f>
        <v>4300</v>
      </c>
      <c r="AJ165" s="47">
        <f t="shared" si="259"/>
        <v>19260.762999999999</v>
      </c>
      <c r="AK165" s="120">
        <v>9900</v>
      </c>
      <c r="AL165" s="47">
        <f t="shared" si="242"/>
        <v>1800</v>
      </c>
      <c r="AM165" s="43"/>
      <c r="AN165" s="47">
        <f>5000-3200</f>
        <v>1800</v>
      </c>
      <c r="AO165" s="43"/>
      <c r="AP165" s="43"/>
      <c r="AQ165" s="47"/>
      <c r="AR165" s="48">
        <f t="shared" si="251"/>
        <v>8839.237000000001</v>
      </c>
      <c r="AS165" s="49" t="e">
        <f>#REF!-AL165</f>
        <v>#REF!</v>
      </c>
    </row>
    <row r="166" spans="2:45" s="50" customFormat="1" ht="113.25" customHeight="1">
      <c r="B166" s="237">
        <f t="shared" si="250"/>
        <v>3</v>
      </c>
      <c r="C166" s="102" t="s">
        <v>336</v>
      </c>
      <c r="D166" s="93">
        <v>1</v>
      </c>
      <c r="E166" s="47"/>
      <c r="F166" s="47"/>
      <c r="G166" s="47"/>
      <c r="H166" s="47"/>
      <c r="I166" s="47">
        <v>1</v>
      </c>
      <c r="J166" s="47">
        <f t="shared" si="258"/>
        <v>1300</v>
      </c>
      <c r="K166" s="47"/>
      <c r="L166" s="47">
        <v>1</v>
      </c>
      <c r="M166" s="88"/>
      <c r="N166" s="39" t="s">
        <v>222</v>
      </c>
      <c r="O166" s="39" t="s">
        <v>324</v>
      </c>
      <c r="P166" s="39" t="s">
        <v>303</v>
      </c>
      <c r="Q166" s="40">
        <v>7875889</v>
      </c>
      <c r="R166" s="80"/>
      <c r="S166" s="39" t="s">
        <v>340</v>
      </c>
      <c r="T166" s="39" t="s">
        <v>170</v>
      </c>
      <c r="U166" s="39"/>
      <c r="V166" s="39" t="s">
        <v>828</v>
      </c>
      <c r="W166" s="68">
        <v>29776</v>
      </c>
      <c r="X166" s="250"/>
      <c r="Y166" s="68">
        <v>29776</v>
      </c>
      <c r="Z166" s="235"/>
      <c r="AA166" s="47">
        <f>20000*0.9</f>
        <v>18000</v>
      </c>
      <c r="AB166" s="235"/>
      <c r="AC166" s="218">
        <f>Y166*0.9</f>
        <v>26798.400000000001</v>
      </c>
      <c r="AD166" s="235"/>
      <c r="AE166" s="235"/>
      <c r="AF166" s="250">
        <v>11391.103999999999</v>
      </c>
      <c r="AG166" s="213">
        <v>3000</v>
      </c>
      <c r="AH166" s="213">
        <v>1453.0809999999999</v>
      </c>
      <c r="AI166" s="120">
        <f>4700+609</f>
        <v>5309</v>
      </c>
      <c r="AJ166" s="47">
        <f t="shared" si="259"/>
        <v>16700.103999999999</v>
      </c>
      <c r="AK166" s="120">
        <v>8400</v>
      </c>
      <c r="AL166" s="47">
        <f t="shared" si="242"/>
        <v>1300</v>
      </c>
      <c r="AM166" s="43"/>
      <c r="AN166" s="47">
        <v>1300</v>
      </c>
      <c r="AO166" s="43"/>
      <c r="AP166" s="43"/>
      <c r="AQ166" s="47"/>
      <c r="AR166" s="48">
        <f t="shared" si="251"/>
        <v>-0.10399999999935972</v>
      </c>
      <c r="AS166" s="49" t="e">
        <f>#REF!-AL166</f>
        <v>#REF!</v>
      </c>
    </row>
    <row r="167" spans="2:45" s="50" customFormat="1" ht="111" customHeight="1">
      <c r="B167" s="237">
        <f t="shared" si="250"/>
        <v>4</v>
      </c>
      <c r="C167" s="102" t="s">
        <v>337</v>
      </c>
      <c r="D167" s="93">
        <v>1</v>
      </c>
      <c r="E167" s="47"/>
      <c r="F167" s="47"/>
      <c r="G167" s="47"/>
      <c r="H167" s="47"/>
      <c r="I167" s="47">
        <v>1</v>
      </c>
      <c r="J167" s="47">
        <f t="shared" si="258"/>
        <v>3000</v>
      </c>
      <c r="K167" s="47"/>
      <c r="L167" s="47">
        <v>1</v>
      </c>
      <c r="M167" s="88"/>
      <c r="N167" s="39" t="s">
        <v>222</v>
      </c>
      <c r="O167" s="39" t="s">
        <v>324</v>
      </c>
      <c r="P167" s="39" t="s">
        <v>303</v>
      </c>
      <c r="Q167" s="40">
        <v>7889690</v>
      </c>
      <c r="R167" s="80"/>
      <c r="S167" s="39" t="s">
        <v>341</v>
      </c>
      <c r="T167" s="39" t="s">
        <v>170</v>
      </c>
      <c r="U167" s="39"/>
      <c r="V167" s="39" t="s">
        <v>829</v>
      </c>
      <c r="W167" s="68">
        <v>29680</v>
      </c>
      <c r="X167" s="250"/>
      <c r="Y167" s="68">
        <v>29680</v>
      </c>
      <c r="Z167" s="235"/>
      <c r="AA167" s="47">
        <f>20000*0.9</f>
        <v>18000</v>
      </c>
      <c r="AB167" s="235"/>
      <c r="AC167" s="218">
        <f>Y167*0.9</f>
        <v>26712</v>
      </c>
      <c r="AD167" s="235"/>
      <c r="AE167" s="235"/>
      <c r="AF167" s="250">
        <v>5000</v>
      </c>
      <c r="AG167" s="120">
        <v>6500</v>
      </c>
      <c r="AH167" s="235"/>
      <c r="AI167" s="120">
        <f>5200+3000</f>
        <v>8200</v>
      </c>
      <c r="AJ167" s="47">
        <f t="shared" si="259"/>
        <v>13200</v>
      </c>
      <c r="AK167" s="120">
        <v>5900</v>
      </c>
      <c r="AL167" s="47">
        <f t="shared" si="242"/>
        <v>3000</v>
      </c>
      <c r="AM167" s="43"/>
      <c r="AN167" s="47">
        <v>3000</v>
      </c>
      <c r="AO167" s="43"/>
      <c r="AP167" s="43"/>
      <c r="AQ167" s="47"/>
      <c r="AR167" s="48">
        <f t="shared" si="251"/>
        <v>1800</v>
      </c>
      <c r="AS167" s="49" t="e">
        <f>#REF!-AL167</f>
        <v>#REF!</v>
      </c>
    </row>
    <row r="168" spans="2:45" s="50" customFormat="1" ht="72" customHeight="1">
      <c r="B168" s="237">
        <f t="shared" si="250"/>
        <v>5</v>
      </c>
      <c r="C168" s="102" t="s">
        <v>342</v>
      </c>
      <c r="D168" s="93">
        <v>1</v>
      </c>
      <c r="E168" s="47"/>
      <c r="F168" s="47"/>
      <c r="G168" s="47"/>
      <c r="H168" s="47"/>
      <c r="I168" s="47">
        <v>1</v>
      </c>
      <c r="J168" s="47">
        <f t="shared" si="258"/>
        <v>2000</v>
      </c>
      <c r="K168" s="47"/>
      <c r="L168" s="47">
        <v>1</v>
      </c>
      <c r="M168" s="88"/>
      <c r="N168" s="39" t="s">
        <v>222</v>
      </c>
      <c r="O168" s="39" t="s">
        <v>324</v>
      </c>
      <c r="P168" s="39" t="s">
        <v>303</v>
      </c>
      <c r="Q168" s="40">
        <v>7932683</v>
      </c>
      <c r="R168" s="80"/>
      <c r="S168" s="39" t="s">
        <v>344</v>
      </c>
      <c r="T168" s="39" t="s">
        <v>114</v>
      </c>
      <c r="U168" s="39"/>
      <c r="V168" s="39" t="s">
        <v>346</v>
      </c>
      <c r="W168" s="44">
        <v>6101</v>
      </c>
      <c r="X168" s="250"/>
      <c r="Y168" s="44">
        <v>5500</v>
      </c>
      <c r="Z168" s="235"/>
      <c r="AA168" s="44">
        <v>5500</v>
      </c>
      <c r="AB168" s="235"/>
      <c r="AC168" s="213">
        <v>5500</v>
      </c>
      <c r="AD168" s="235"/>
      <c r="AE168" s="235"/>
      <c r="AF168" s="235"/>
      <c r="AG168" s="250">
        <v>4900</v>
      </c>
      <c r="AH168" s="221">
        <v>1352.09</v>
      </c>
      <c r="AI168" s="424">
        <v>2000</v>
      </c>
      <c r="AJ168" s="47">
        <f t="shared" si="259"/>
        <v>2000</v>
      </c>
      <c r="AK168" s="120">
        <v>500</v>
      </c>
      <c r="AL168" s="47">
        <f t="shared" si="242"/>
        <v>2000</v>
      </c>
      <c r="AM168" s="43"/>
      <c r="AN168" s="47">
        <v>2000</v>
      </c>
      <c r="AO168" s="43"/>
      <c r="AP168" s="43"/>
      <c r="AQ168" s="47"/>
      <c r="AR168" s="48">
        <f t="shared" si="251"/>
        <v>1500</v>
      </c>
      <c r="AS168" s="49" t="e">
        <f>#REF!-AL168</f>
        <v>#REF!</v>
      </c>
    </row>
    <row r="169" spans="2:45" s="50" customFormat="1" ht="75.75" customHeight="1">
      <c r="B169" s="237">
        <f t="shared" si="250"/>
        <v>6</v>
      </c>
      <c r="C169" s="102" t="s">
        <v>343</v>
      </c>
      <c r="D169" s="93">
        <v>1</v>
      </c>
      <c r="E169" s="47"/>
      <c r="F169" s="47"/>
      <c r="G169" s="47"/>
      <c r="H169" s="47"/>
      <c r="I169" s="47">
        <v>1</v>
      </c>
      <c r="J169" s="47">
        <f t="shared" si="258"/>
        <v>1000</v>
      </c>
      <c r="K169" s="47"/>
      <c r="L169" s="47">
        <v>1</v>
      </c>
      <c r="M169" s="88"/>
      <c r="N169" s="39" t="s">
        <v>222</v>
      </c>
      <c r="O169" s="39" t="s">
        <v>324</v>
      </c>
      <c r="P169" s="39" t="s">
        <v>303</v>
      </c>
      <c r="Q169" s="40">
        <v>7932677</v>
      </c>
      <c r="R169" s="80"/>
      <c r="S169" s="39" t="s">
        <v>345</v>
      </c>
      <c r="T169" s="39" t="s">
        <v>114</v>
      </c>
      <c r="U169" s="39"/>
      <c r="V169" s="39" t="s">
        <v>347</v>
      </c>
      <c r="W169" s="44">
        <v>7227</v>
      </c>
      <c r="X169" s="250"/>
      <c r="Y169" s="44">
        <v>7200</v>
      </c>
      <c r="Z169" s="235"/>
      <c r="AA169" s="44">
        <v>7200</v>
      </c>
      <c r="AB169" s="235"/>
      <c r="AC169" s="213">
        <v>7200</v>
      </c>
      <c r="AD169" s="235"/>
      <c r="AE169" s="235"/>
      <c r="AF169" s="235"/>
      <c r="AG169" s="250">
        <v>5000</v>
      </c>
      <c r="AH169" s="221">
        <v>459.64600000000002</v>
      </c>
      <c r="AI169" s="424">
        <v>4400</v>
      </c>
      <c r="AJ169" s="47">
        <f t="shared" si="259"/>
        <v>4400</v>
      </c>
      <c r="AK169" s="120">
        <v>1900</v>
      </c>
      <c r="AL169" s="47">
        <f t="shared" si="242"/>
        <v>1000</v>
      </c>
      <c r="AM169" s="43"/>
      <c r="AN169" s="47">
        <v>1000</v>
      </c>
      <c r="AO169" s="43"/>
      <c r="AP169" s="43"/>
      <c r="AQ169" s="47"/>
      <c r="AR169" s="48">
        <f t="shared" si="251"/>
        <v>1800</v>
      </c>
      <c r="AS169" s="49" t="e">
        <f>#REF!-AL169</f>
        <v>#REF!</v>
      </c>
    </row>
    <row r="170" spans="2:45" s="50" customFormat="1">
      <c r="B170" s="89"/>
      <c r="C170" s="346" t="s">
        <v>361</v>
      </c>
      <c r="D170" s="247">
        <f t="shared" ref="D170:J170" si="260">D171+D172+D173+D174+D175</f>
        <v>5</v>
      </c>
      <c r="E170" s="43">
        <f t="shared" si="260"/>
        <v>0</v>
      </c>
      <c r="F170" s="43">
        <f t="shared" si="260"/>
        <v>0</v>
      </c>
      <c r="G170" s="43">
        <f t="shared" si="260"/>
        <v>0</v>
      </c>
      <c r="H170" s="43">
        <f t="shared" si="260"/>
        <v>0</v>
      </c>
      <c r="I170" s="43">
        <f t="shared" si="260"/>
        <v>5</v>
      </c>
      <c r="J170" s="43">
        <f t="shared" si="260"/>
        <v>27000</v>
      </c>
      <c r="K170" s="43">
        <f t="shared" ref="K170:M170" si="261">SUM(K171:K175)</f>
        <v>0</v>
      </c>
      <c r="L170" s="43">
        <f t="shared" si="261"/>
        <v>5</v>
      </c>
      <c r="M170" s="246">
        <f t="shared" si="261"/>
        <v>0</v>
      </c>
      <c r="N170" s="39"/>
      <c r="O170" s="39"/>
      <c r="P170" s="39"/>
      <c r="Q170" s="39"/>
      <c r="R170" s="39"/>
      <c r="S170" s="39"/>
      <c r="T170" s="39"/>
      <c r="U170" s="39"/>
      <c r="V170" s="39"/>
      <c r="W170" s="43">
        <f>W171+W172+W173+W174+W175</f>
        <v>100240.20700000001</v>
      </c>
      <c r="X170" s="235">
        <f t="shared" ref="X170" si="262">SUM(X171:X175)</f>
        <v>0</v>
      </c>
      <c r="Y170" s="43">
        <f t="shared" ref="Y170:AP170" si="263">Y171+Y172+Y173+Y174+Y175</f>
        <v>80224.309799999988</v>
      </c>
      <c r="Z170" s="43">
        <f t="shared" si="263"/>
        <v>0</v>
      </c>
      <c r="AA170" s="43">
        <f t="shared" si="263"/>
        <v>73900</v>
      </c>
      <c r="AB170" s="235">
        <f t="shared" si="263"/>
        <v>0</v>
      </c>
      <c r="AC170" s="235">
        <f t="shared" si="263"/>
        <v>74181.878819999998</v>
      </c>
      <c r="AD170" s="235">
        <f t="shared" si="263"/>
        <v>0</v>
      </c>
      <c r="AE170" s="235">
        <f t="shared" si="263"/>
        <v>0</v>
      </c>
      <c r="AF170" s="235">
        <f t="shared" si="263"/>
        <v>0</v>
      </c>
      <c r="AG170" s="235">
        <f t="shared" si="263"/>
        <v>12400</v>
      </c>
      <c r="AH170" s="235">
        <f t="shared" si="263"/>
        <v>6679.924</v>
      </c>
      <c r="AI170" s="235">
        <f t="shared" si="263"/>
        <v>9801</v>
      </c>
      <c r="AJ170" s="43">
        <f t="shared" si="263"/>
        <v>9801</v>
      </c>
      <c r="AK170" s="235">
        <f t="shared" si="263"/>
        <v>47262</v>
      </c>
      <c r="AL170" s="43">
        <f t="shared" si="263"/>
        <v>27000</v>
      </c>
      <c r="AM170" s="43">
        <f t="shared" si="263"/>
        <v>0</v>
      </c>
      <c r="AN170" s="43">
        <f t="shared" si="263"/>
        <v>27000</v>
      </c>
      <c r="AO170" s="43">
        <f t="shared" si="263"/>
        <v>0</v>
      </c>
      <c r="AP170" s="43">
        <f t="shared" si="263"/>
        <v>0</v>
      </c>
      <c r="AQ170" s="47"/>
      <c r="AR170" s="48">
        <f t="shared" si="251"/>
        <v>37099</v>
      </c>
      <c r="AS170" s="49" t="e">
        <f>#REF!-AL170</f>
        <v>#REF!</v>
      </c>
    </row>
    <row r="171" spans="2:45" s="50" customFormat="1" ht="51.6" customHeight="1">
      <c r="B171" s="237">
        <f t="shared" si="250"/>
        <v>1</v>
      </c>
      <c r="C171" s="312" t="s">
        <v>918</v>
      </c>
      <c r="D171" s="93">
        <v>1</v>
      </c>
      <c r="E171" s="47"/>
      <c r="F171" s="47"/>
      <c r="G171" s="47"/>
      <c r="H171" s="47"/>
      <c r="I171" s="47">
        <v>1</v>
      </c>
      <c r="J171" s="47">
        <f>I171*AL171</f>
        <v>3000</v>
      </c>
      <c r="K171" s="47"/>
      <c r="L171" s="47">
        <v>1</v>
      </c>
      <c r="M171" s="88"/>
      <c r="N171" s="41" t="s">
        <v>161</v>
      </c>
      <c r="O171" s="41" t="s">
        <v>375</v>
      </c>
      <c r="P171" s="39" t="s">
        <v>363</v>
      </c>
      <c r="Q171" s="41">
        <v>7892352</v>
      </c>
      <c r="R171" s="41"/>
      <c r="S171" s="41"/>
      <c r="T171" s="105" t="s">
        <v>114</v>
      </c>
      <c r="U171" s="78"/>
      <c r="V171" s="78" t="s">
        <v>370</v>
      </c>
      <c r="W171" s="47">
        <v>13308.457</v>
      </c>
      <c r="X171" s="120"/>
      <c r="Y171" s="68">
        <v>10900</v>
      </c>
      <c r="Z171" s="235"/>
      <c r="AA171" s="62">
        <v>10900</v>
      </c>
      <c r="AB171" s="235"/>
      <c r="AC171" s="265">
        <v>10900</v>
      </c>
      <c r="AD171" s="235"/>
      <c r="AE171" s="235"/>
      <c r="AF171" s="250"/>
      <c r="AG171" s="250">
        <v>2400</v>
      </c>
      <c r="AH171" s="213">
        <v>2398.7420000000002</v>
      </c>
      <c r="AI171" s="120">
        <v>3201</v>
      </c>
      <c r="AJ171" s="47">
        <f t="shared" ref="AJ171:AJ175" si="264">AF171+AI171</f>
        <v>3201</v>
      </c>
      <c r="AK171" s="120">
        <v>6490</v>
      </c>
      <c r="AL171" s="47">
        <f t="shared" si="242"/>
        <v>3000</v>
      </c>
      <c r="AM171" s="43"/>
      <c r="AN171" s="47">
        <v>3000</v>
      </c>
      <c r="AO171" s="43"/>
      <c r="AP171" s="43"/>
      <c r="AQ171" s="47"/>
      <c r="AR171" s="48">
        <f t="shared" si="251"/>
        <v>4699</v>
      </c>
      <c r="AS171" s="49" t="e">
        <f>#REF!-AL171</f>
        <v>#REF!</v>
      </c>
    </row>
    <row r="172" spans="2:45" s="50" customFormat="1" ht="50.45" customHeight="1">
      <c r="B172" s="237">
        <f t="shared" si="250"/>
        <v>2</v>
      </c>
      <c r="C172" s="102" t="s">
        <v>919</v>
      </c>
      <c r="D172" s="93">
        <v>1</v>
      </c>
      <c r="E172" s="47"/>
      <c r="F172" s="47"/>
      <c r="G172" s="47"/>
      <c r="H172" s="47"/>
      <c r="I172" s="47">
        <v>1</v>
      </c>
      <c r="J172" s="47">
        <f>I172*AL172</f>
        <v>2000</v>
      </c>
      <c r="K172" s="47"/>
      <c r="L172" s="47">
        <v>1</v>
      </c>
      <c r="M172" s="88"/>
      <c r="N172" s="41" t="s">
        <v>161</v>
      </c>
      <c r="O172" s="41" t="s">
        <v>375</v>
      </c>
      <c r="P172" s="39" t="s">
        <v>363</v>
      </c>
      <c r="Q172" s="41">
        <v>7892351</v>
      </c>
      <c r="R172" s="41"/>
      <c r="S172" s="41"/>
      <c r="T172" s="105" t="s">
        <v>114</v>
      </c>
      <c r="U172" s="78"/>
      <c r="V172" s="78" t="s">
        <v>371</v>
      </c>
      <c r="W172" s="47">
        <v>13206.873</v>
      </c>
      <c r="X172" s="120"/>
      <c r="Y172" s="68">
        <v>8900</v>
      </c>
      <c r="Z172" s="235"/>
      <c r="AA172" s="62">
        <v>8900</v>
      </c>
      <c r="AB172" s="235"/>
      <c r="AC172" s="265">
        <v>8900</v>
      </c>
      <c r="AD172" s="235"/>
      <c r="AE172" s="235"/>
      <c r="AF172" s="250"/>
      <c r="AG172" s="250">
        <v>2400</v>
      </c>
      <c r="AH172" s="213">
        <v>2336.2489999999998</v>
      </c>
      <c r="AI172" s="120">
        <v>2400</v>
      </c>
      <c r="AJ172" s="47">
        <f t="shared" si="264"/>
        <v>2400</v>
      </c>
      <c r="AK172" s="120">
        <v>10772</v>
      </c>
      <c r="AL172" s="47">
        <f t="shared" si="242"/>
        <v>2000</v>
      </c>
      <c r="AM172" s="43"/>
      <c r="AN172" s="47">
        <v>2000</v>
      </c>
      <c r="AO172" s="43"/>
      <c r="AP172" s="43"/>
      <c r="AQ172" s="47"/>
      <c r="AR172" s="48">
        <f t="shared" si="251"/>
        <v>4500</v>
      </c>
      <c r="AS172" s="49" t="e">
        <f>#REF!-AL172</f>
        <v>#REF!</v>
      </c>
    </row>
    <row r="173" spans="2:45" s="50" customFormat="1" ht="52.5" customHeight="1">
      <c r="B173" s="237">
        <f t="shared" si="250"/>
        <v>3</v>
      </c>
      <c r="C173" s="312" t="s">
        <v>920</v>
      </c>
      <c r="D173" s="93">
        <v>1</v>
      </c>
      <c r="E173" s="47"/>
      <c r="F173" s="47"/>
      <c r="G173" s="47"/>
      <c r="H173" s="47"/>
      <c r="I173" s="47">
        <v>1</v>
      </c>
      <c r="J173" s="47">
        <f>I173*AL173</f>
        <v>6000</v>
      </c>
      <c r="K173" s="47"/>
      <c r="L173" s="47">
        <v>1</v>
      </c>
      <c r="M173" s="88"/>
      <c r="N173" s="41" t="s">
        <v>161</v>
      </c>
      <c r="O173" s="41" t="s">
        <v>375</v>
      </c>
      <c r="P173" s="39" t="s">
        <v>363</v>
      </c>
      <c r="Q173" s="41">
        <v>7892350</v>
      </c>
      <c r="R173" s="41"/>
      <c r="S173" s="41"/>
      <c r="T173" s="105" t="s">
        <v>114</v>
      </c>
      <c r="U173" s="78"/>
      <c r="V173" s="78" t="s">
        <v>372</v>
      </c>
      <c r="W173" s="47">
        <v>21594.091</v>
      </c>
      <c r="X173" s="120"/>
      <c r="Y173" s="68">
        <f>W173*0.9</f>
        <v>19434.6819</v>
      </c>
      <c r="Z173" s="235"/>
      <c r="AA173" s="62">
        <v>17700</v>
      </c>
      <c r="AB173" s="235"/>
      <c r="AC173" s="265">
        <f>Y173*0.9</f>
        <v>17491.21371</v>
      </c>
      <c r="AD173" s="235"/>
      <c r="AE173" s="235"/>
      <c r="AF173" s="250"/>
      <c r="AG173" s="250">
        <v>2400</v>
      </c>
      <c r="AH173" s="213">
        <v>1027.066</v>
      </c>
      <c r="AI173" s="120">
        <v>2400</v>
      </c>
      <c r="AJ173" s="47">
        <f t="shared" si="264"/>
        <v>2400</v>
      </c>
      <c r="AK173" s="120">
        <v>10000</v>
      </c>
      <c r="AL173" s="47">
        <f t="shared" si="242"/>
        <v>6000</v>
      </c>
      <c r="AM173" s="43"/>
      <c r="AN173" s="47">
        <v>6000</v>
      </c>
      <c r="AO173" s="43"/>
      <c r="AP173" s="43"/>
      <c r="AQ173" s="47"/>
      <c r="AR173" s="48">
        <f t="shared" si="251"/>
        <v>9300</v>
      </c>
      <c r="AS173" s="49" t="e">
        <f>#REF!-AL173</f>
        <v>#REF!</v>
      </c>
    </row>
    <row r="174" spans="2:45" s="50" customFormat="1" ht="57.6" customHeight="1">
      <c r="B174" s="237">
        <f t="shared" si="250"/>
        <v>4</v>
      </c>
      <c r="C174" s="102" t="s">
        <v>921</v>
      </c>
      <c r="D174" s="93">
        <v>1</v>
      </c>
      <c r="E174" s="47"/>
      <c r="F174" s="47"/>
      <c r="G174" s="47"/>
      <c r="H174" s="47"/>
      <c r="I174" s="47">
        <v>1</v>
      </c>
      <c r="J174" s="47">
        <f>I174*AL174</f>
        <v>6000</v>
      </c>
      <c r="K174" s="47"/>
      <c r="L174" s="47">
        <v>1</v>
      </c>
      <c r="M174" s="88"/>
      <c r="N174" s="41" t="s">
        <v>161</v>
      </c>
      <c r="O174" s="41" t="s">
        <v>375</v>
      </c>
      <c r="P174" s="39" t="s">
        <v>363</v>
      </c>
      <c r="Q174" s="41">
        <v>7891909</v>
      </c>
      <c r="R174" s="41"/>
      <c r="S174" s="41"/>
      <c r="T174" s="105" t="s">
        <v>114</v>
      </c>
      <c r="U174" s="78"/>
      <c r="V174" s="78" t="s">
        <v>373</v>
      </c>
      <c r="W174" s="47">
        <v>23186.755000000001</v>
      </c>
      <c r="X174" s="120"/>
      <c r="Y174" s="68">
        <f>16600*0.9</f>
        <v>14940</v>
      </c>
      <c r="Z174" s="235"/>
      <c r="AA174" s="62">
        <v>16600</v>
      </c>
      <c r="AB174" s="235"/>
      <c r="AC174" s="265">
        <f>Y174*0.9</f>
        <v>13446</v>
      </c>
      <c r="AD174" s="235"/>
      <c r="AE174" s="235"/>
      <c r="AF174" s="250"/>
      <c r="AG174" s="250">
        <v>2400</v>
      </c>
      <c r="AH174" s="213">
        <v>917.86699999999996</v>
      </c>
      <c r="AI174" s="250">
        <v>950</v>
      </c>
      <c r="AJ174" s="47">
        <f t="shared" si="264"/>
        <v>950</v>
      </c>
      <c r="AK174" s="120">
        <v>10000</v>
      </c>
      <c r="AL174" s="47">
        <f t="shared" si="242"/>
        <v>6000</v>
      </c>
      <c r="AM174" s="43"/>
      <c r="AN174" s="47">
        <v>6000</v>
      </c>
      <c r="AO174" s="43"/>
      <c r="AP174" s="43"/>
      <c r="AQ174" s="47"/>
      <c r="AR174" s="48">
        <f t="shared" si="251"/>
        <v>9650</v>
      </c>
      <c r="AS174" s="49" t="e">
        <f>#REF!-AL174</f>
        <v>#REF!</v>
      </c>
    </row>
    <row r="175" spans="2:45" s="50" customFormat="1" ht="51.6" customHeight="1">
      <c r="B175" s="237">
        <f t="shared" si="250"/>
        <v>5</v>
      </c>
      <c r="C175" s="312" t="s">
        <v>922</v>
      </c>
      <c r="D175" s="93">
        <v>1</v>
      </c>
      <c r="E175" s="47"/>
      <c r="F175" s="47"/>
      <c r="G175" s="47"/>
      <c r="H175" s="47"/>
      <c r="I175" s="47">
        <v>1</v>
      </c>
      <c r="J175" s="47">
        <f>I175*AL175</f>
        <v>10000</v>
      </c>
      <c r="K175" s="47"/>
      <c r="L175" s="47">
        <v>1</v>
      </c>
      <c r="M175" s="88"/>
      <c r="N175" s="41" t="s">
        <v>161</v>
      </c>
      <c r="O175" s="41" t="s">
        <v>375</v>
      </c>
      <c r="P175" s="39" t="s">
        <v>363</v>
      </c>
      <c r="Q175" s="41">
        <v>7891908</v>
      </c>
      <c r="R175" s="41"/>
      <c r="S175" s="41"/>
      <c r="T175" s="105" t="s">
        <v>115</v>
      </c>
      <c r="U175" s="78"/>
      <c r="V175" s="78" t="s">
        <v>374</v>
      </c>
      <c r="W175" s="47">
        <v>28944.030999999999</v>
      </c>
      <c r="X175" s="120"/>
      <c r="Y175" s="68">
        <f>W175*0.9</f>
        <v>26049.627899999999</v>
      </c>
      <c r="Z175" s="235"/>
      <c r="AA175" s="62">
        <v>19800</v>
      </c>
      <c r="AB175" s="235"/>
      <c r="AC175" s="265">
        <f>Y175*0.9</f>
        <v>23444.665110000002</v>
      </c>
      <c r="AD175" s="235"/>
      <c r="AE175" s="235"/>
      <c r="AF175" s="250"/>
      <c r="AG175" s="250">
        <v>2800</v>
      </c>
      <c r="AH175" s="221"/>
      <c r="AI175" s="250">
        <v>850</v>
      </c>
      <c r="AJ175" s="47">
        <f t="shared" si="264"/>
        <v>850</v>
      </c>
      <c r="AK175" s="120">
        <v>10000</v>
      </c>
      <c r="AL175" s="47">
        <f t="shared" si="242"/>
        <v>10000</v>
      </c>
      <c r="AM175" s="43"/>
      <c r="AN175" s="47">
        <v>10000</v>
      </c>
      <c r="AO175" s="43"/>
      <c r="AP175" s="43"/>
      <c r="AQ175" s="47"/>
      <c r="AR175" s="48">
        <f t="shared" si="251"/>
        <v>8950</v>
      </c>
      <c r="AS175" s="49" t="e">
        <f>#REF!-AL175</f>
        <v>#REF!</v>
      </c>
    </row>
    <row r="176" spans="2:45" s="50" customFormat="1" ht="24" customHeight="1">
      <c r="B176" s="89"/>
      <c r="C176" s="346" t="s">
        <v>401</v>
      </c>
      <c r="D176" s="247">
        <f t="shared" ref="D176:J176" si="265">D177+D178+D179+D180+D181+D182+D183+D184+D185+D186+D187</f>
        <v>11</v>
      </c>
      <c r="E176" s="43">
        <f t="shared" si="265"/>
        <v>0</v>
      </c>
      <c r="F176" s="43">
        <f t="shared" si="265"/>
        <v>0</v>
      </c>
      <c r="G176" s="43">
        <f t="shared" si="265"/>
        <v>0</v>
      </c>
      <c r="H176" s="43">
        <f t="shared" si="265"/>
        <v>0</v>
      </c>
      <c r="I176" s="43">
        <f t="shared" si="265"/>
        <v>11</v>
      </c>
      <c r="J176" s="43">
        <f t="shared" si="265"/>
        <v>61300</v>
      </c>
      <c r="K176" s="43">
        <f t="shared" ref="K176:X176" si="266">SUM(K177:K187)</f>
        <v>0</v>
      </c>
      <c r="L176" s="43">
        <f t="shared" si="266"/>
        <v>11</v>
      </c>
      <c r="M176" s="43">
        <f t="shared" si="266"/>
        <v>0</v>
      </c>
      <c r="N176" s="43">
        <f t="shared" si="266"/>
        <v>0</v>
      </c>
      <c r="O176" s="43">
        <f t="shared" si="266"/>
        <v>0</v>
      </c>
      <c r="P176" s="43">
        <f t="shared" si="266"/>
        <v>0</v>
      </c>
      <c r="Q176" s="43"/>
      <c r="R176" s="43">
        <f t="shared" si="266"/>
        <v>0</v>
      </c>
      <c r="S176" s="43">
        <f t="shared" si="266"/>
        <v>0</v>
      </c>
      <c r="T176" s="43">
        <f t="shared" si="266"/>
        <v>0</v>
      </c>
      <c r="U176" s="43">
        <f t="shared" si="266"/>
        <v>0</v>
      </c>
      <c r="V176" s="43">
        <f t="shared" si="266"/>
        <v>0</v>
      </c>
      <c r="W176" s="43">
        <f>W177+W178+W179+W180+W181+W182+W183+W184+W185+W186+W187</f>
        <v>264594</v>
      </c>
      <c r="X176" s="43">
        <f t="shared" si="266"/>
        <v>0</v>
      </c>
      <c r="Y176" s="43">
        <f t="shared" ref="Y176:AP176" si="267">Y177+Y178+Y179+Y180+Y181+Y182+Y183+Y184+Y185+Y186+Y187</f>
        <v>242881</v>
      </c>
      <c r="Z176" s="43">
        <f t="shared" si="267"/>
        <v>0</v>
      </c>
      <c r="AA176" s="43">
        <f t="shared" si="267"/>
        <v>177319.40000000002</v>
      </c>
      <c r="AB176" s="235">
        <f t="shared" si="267"/>
        <v>0</v>
      </c>
      <c r="AC176" s="235">
        <f t="shared" si="267"/>
        <v>220676.9</v>
      </c>
      <c r="AD176" s="235">
        <f t="shared" si="267"/>
        <v>0</v>
      </c>
      <c r="AE176" s="235">
        <f t="shared" si="267"/>
        <v>0</v>
      </c>
      <c r="AF176" s="235">
        <f t="shared" si="267"/>
        <v>0</v>
      </c>
      <c r="AG176" s="235">
        <f t="shared" si="267"/>
        <v>44900</v>
      </c>
      <c r="AH176" s="235">
        <f t="shared" si="267"/>
        <v>18417.310999999998</v>
      </c>
      <c r="AI176" s="235">
        <f t="shared" si="267"/>
        <v>49900</v>
      </c>
      <c r="AJ176" s="43">
        <f t="shared" si="267"/>
        <v>49900</v>
      </c>
      <c r="AK176" s="235">
        <f t="shared" si="267"/>
        <v>132137</v>
      </c>
      <c r="AL176" s="43">
        <f t="shared" si="267"/>
        <v>61300</v>
      </c>
      <c r="AM176" s="43">
        <f t="shared" si="267"/>
        <v>0</v>
      </c>
      <c r="AN176" s="43">
        <f t="shared" si="267"/>
        <v>61300</v>
      </c>
      <c r="AO176" s="43">
        <f t="shared" si="267"/>
        <v>0</v>
      </c>
      <c r="AP176" s="43">
        <f t="shared" si="267"/>
        <v>0</v>
      </c>
      <c r="AQ176" s="47"/>
      <c r="AR176" s="48">
        <f t="shared" si="251"/>
        <v>66119.400000000023</v>
      </c>
      <c r="AS176" s="49" t="e">
        <f>#REF!-AL176</f>
        <v>#REF!</v>
      </c>
    </row>
    <row r="177" spans="2:45" s="50" customFormat="1" ht="77.25" customHeight="1">
      <c r="B177" s="237">
        <f t="shared" si="250"/>
        <v>1</v>
      </c>
      <c r="C177" s="383" t="s">
        <v>923</v>
      </c>
      <c r="D177" s="93">
        <v>1</v>
      </c>
      <c r="E177" s="47"/>
      <c r="F177" s="47"/>
      <c r="G177" s="47"/>
      <c r="H177" s="47"/>
      <c r="I177" s="47">
        <v>1</v>
      </c>
      <c r="J177" s="47">
        <f t="shared" ref="J177:J187" si="268">I177*AL177</f>
        <v>3500</v>
      </c>
      <c r="K177" s="47"/>
      <c r="L177" s="47">
        <v>1</v>
      </c>
      <c r="M177" s="88"/>
      <c r="N177" s="39" t="s">
        <v>409</v>
      </c>
      <c r="O177" s="41" t="s">
        <v>421</v>
      </c>
      <c r="P177" s="39" t="s">
        <v>422</v>
      </c>
      <c r="Q177" s="41">
        <v>7937322</v>
      </c>
      <c r="R177" s="41"/>
      <c r="S177" s="41" t="s">
        <v>426</v>
      </c>
      <c r="T177" s="97" t="s">
        <v>830</v>
      </c>
      <c r="U177" s="39"/>
      <c r="V177" s="97" t="s">
        <v>925</v>
      </c>
      <c r="W177" s="68">
        <v>25926</v>
      </c>
      <c r="X177" s="250"/>
      <c r="Y177" s="68">
        <v>23075</v>
      </c>
      <c r="Z177" s="235"/>
      <c r="AA177" s="68">
        <v>10900</v>
      </c>
      <c r="AB177" s="235"/>
      <c r="AC177" s="265">
        <f>Y177*0.9</f>
        <v>20767.5</v>
      </c>
      <c r="AD177" s="235"/>
      <c r="AE177" s="235"/>
      <c r="AF177" s="235"/>
      <c r="AG177" s="213">
        <v>4000</v>
      </c>
      <c r="AH177" s="221">
        <v>437.86900000000003</v>
      </c>
      <c r="AI177" s="213">
        <v>4000</v>
      </c>
      <c r="AJ177" s="47">
        <f t="shared" ref="AJ177:AJ187" si="269">AF177+AI177</f>
        <v>4000</v>
      </c>
      <c r="AK177" s="241">
        <v>16700</v>
      </c>
      <c r="AL177" s="47">
        <f t="shared" si="242"/>
        <v>3500</v>
      </c>
      <c r="AM177" s="43"/>
      <c r="AN177" s="47">
        <v>3500</v>
      </c>
      <c r="AO177" s="43"/>
      <c r="AP177" s="43"/>
      <c r="AQ177" s="47"/>
      <c r="AR177" s="48">
        <f t="shared" si="251"/>
        <v>3400</v>
      </c>
      <c r="AS177" s="49" t="e">
        <f>#REF!-AL177</f>
        <v>#REF!</v>
      </c>
    </row>
    <row r="178" spans="2:45" s="50" customFormat="1" ht="70.5" customHeight="1">
      <c r="B178" s="237">
        <f t="shared" si="250"/>
        <v>2</v>
      </c>
      <c r="C178" s="384" t="s">
        <v>924</v>
      </c>
      <c r="D178" s="93">
        <v>1</v>
      </c>
      <c r="E178" s="47"/>
      <c r="F178" s="47"/>
      <c r="G178" s="47"/>
      <c r="H178" s="47"/>
      <c r="I178" s="47">
        <v>1</v>
      </c>
      <c r="J178" s="47">
        <f t="shared" si="268"/>
        <v>12000</v>
      </c>
      <c r="K178" s="47"/>
      <c r="L178" s="47">
        <v>1</v>
      </c>
      <c r="M178" s="88"/>
      <c r="N178" s="39" t="s">
        <v>409</v>
      </c>
      <c r="O178" s="41" t="s">
        <v>421</v>
      </c>
      <c r="P178" s="39" t="s">
        <v>422</v>
      </c>
      <c r="Q178" s="41">
        <v>7941754</v>
      </c>
      <c r="R178" s="41"/>
      <c r="S178" s="41" t="s">
        <v>427</v>
      </c>
      <c r="T178" s="97" t="s">
        <v>424</v>
      </c>
      <c r="U178" s="39"/>
      <c r="V178" s="97" t="s">
        <v>926</v>
      </c>
      <c r="W178" s="61">
        <v>41891</v>
      </c>
      <c r="X178" s="250"/>
      <c r="Y178" s="68">
        <v>34694</v>
      </c>
      <c r="Z178" s="235"/>
      <c r="AA178" s="68">
        <v>31224.600000000002</v>
      </c>
      <c r="AB178" s="235"/>
      <c r="AC178" s="265">
        <f>Y178*0.9</f>
        <v>31224.600000000002</v>
      </c>
      <c r="AD178" s="235"/>
      <c r="AE178" s="235"/>
      <c r="AF178" s="235"/>
      <c r="AG178" s="213">
        <v>7000</v>
      </c>
      <c r="AH178" s="221">
        <v>619.11</v>
      </c>
      <c r="AI178" s="213">
        <v>7000</v>
      </c>
      <c r="AJ178" s="47">
        <f t="shared" si="269"/>
        <v>7000</v>
      </c>
      <c r="AK178" s="241">
        <v>24225</v>
      </c>
      <c r="AL178" s="47">
        <f t="shared" si="242"/>
        <v>12000</v>
      </c>
      <c r="AM178" s="43"/>
      <c r="AN178" s="44">
        <v>12000</v>
      </c>
      <c r="AO178" s="43"/>
      <c r="AP178" s="43"/>
      <c r="AQ178" s="47"/>
      <c r="AR178" s="48">
        <f t="shared" si="251"/>
        <v>12224.600000000002</v>
      </c>
      <c r="AS178" s="49" t="e">
        <f>#REF!-AL178</f>
        <v>#REF!</v>
      </c>
    </row>
    <row r="179" spans="2:45" s="50" customFormat="1" ht="70.5" customHeight="1">
      <c r="B179" s="237">
        <f t="shared" si="250"/>
        <v>3</v>
      </c>
      <c r="C179" s="125" t="s">
        <v>402</v>
      </c>
      <c r="D179" s="38">
        <v>1</v>
      </c>
      <c r="E179" s="47"/>
      <c r="F179" s="47"/>
      <c r="G179" s="68"/>
      <c r="H179" s="68"/>
      <c r="I179" s="47">
        <v>1</v>
      </c>
      <c r="J179" s="47">
        <f t="shared" si="268"/>
        <v>7000</v>
      </c>
      <c r="K179" s="47"/>
      <c r="L179" s="68">
        <v>1</v>
      </c>
      <c r="M179" s="88"/>
      <c r="N179" s="39" t="s">
        <v>409</v>
      </c>
      <c r="O179" s="39" t="s">
        <v>410</v>
      </c>
      <c r="P179" s="39" t="s">
        <v>411</v>
      </c>
      <c r="Q179" s="39">
        <v>7854525</v>
      </c>
      <c r="R179" s="80"/>
      <c r="S179" s="80"/>
      <c r="T179" s="39" t="s">
        <v>114</v>
      </c>
      <c r="U179" s="78"/>
      <c r="V179" s="39" t="s">
        <v>412</v>
      </c>
      <c r="W179" s="68">
        <v>27680</v>
      </c>
      <c r="X179" s="250"/>
      <c r="Y179" s="68">
        <f>W179-1579</f>
        <v>26101</v>
      </c>
      <c r="Z179" s="235"/>
      <c r="AA179" s="62">
        <v>19900</v>
      </c>
      <c r="AB179" s="235"/>
      <c r="AC179" s="265">
        <f>Y179*0.9</f>
        <v>23490.9</v>
      </c>
      <c r="AD179" s="235"/>
      <c r="AE179" s="235"/>
      <c r="AF179" s="250"/>
      <c r="AG179" s="250">
        <v>5000</v>
      </c>
      <c r="AH179" s="221">
        <v>1227.912</v>
      </c>
      <c r="AI179" s="424">
        <v>5000</v>
      </c>
      <c r="AJ179" s="47">
        <f t="shared" si="269"/>
        <v>5000</v>
      </c>
      <c r="AK179" s="120">
        <v>12101</v>
      </c>
      <c r="AL179" s="47">
        <f t="shared" si="242"/>
        <v>7000</v>
      </c>
      <c r="AM179" s="43"/>
      <c r="AN179" s="47">
        <v>7000</v>
      </c>
      <c r="AO179" s="43"/>
      <c r="AP179" s="43"/>
      <c r="AQ179" s="47"/>
      <c r="AR179" s="48">
        <f t="shared" si="251"/>
        <v>7900</v>
      </c>
      <c r="AS179" s="49" t="e">
        <f>#REF!-AL179</f>
        <v>#REF!</v>
      </c>
    </row>
    <row r="180" spans="2:45" s="50" customFormat="1" ht="69.75" customHeight="1">
      <c r="B180" s="237">
        <f t="shared" si="250"/>
        <v>4</v>
      </c>
      <c r="C180" s="125" t="s">
        <v>403</v>
      </c>
      <c r="D180" s="38">
        <v>1</v>
      </c>
      <c r="E180" s="47"/>
      <c r="F180" s="47"/>
      <c r="G180" s="68"/>
      <c r="H180" s="68"/>
      <c r="I180" s="47">
        <v>1</v>
      </c>
      <c r="J180" s="47">
        <f t="shared" si="268"/>
        <v>7000</v>
      </c>
      <c r="K180" s="47"/>
      <c r="L180" s="68">
        <v>1</v>
      </c>
      <c r="M180" s="88"/>
      <c r="N180" s="39" t="s">
        <v>409</v>
      </c>
      <c r="O180" s="39" t="s">
        <v>410</v>
      </c>
      <c r="P180" s="39" t="s">
        <v>411</v>
      </c>
      <c r="Q180" s="39">
        <v>7801863</v>
      </c>
      <c r="R180" s="80"/>
      <c r="S180" s="80"/>
      <c r="T180" s="39" t="s">
        <v>170</v>
      </c>
      <c r="U180" s="78"/>
      <c r="V180" s="39" t="s">
        <v>413</v>
      </c>
      <c r="W180" s="68">
        <v>24306</v>
      </c>
      <c r="X180" s="250"/>
      <c r="Y180" s="68">
        <f>W180-1534</f>
        <v>22772</v>
      </c>
      <c r="Z180" s="235"/>
      <c r="AA180" s="62">
        <v>20494.8</v>
      </c>
      <c r="AB180" s="235"/>
      <c r="AC180" s="265">
        <f t="shared" ref="AC180:AC185" si="270">Y180*0.9</f>
        <v>20494.8</v>
      </c>
      <c r="AD180" s="235"/>
      <c r="AE180" s="235"/>
      <c r="AF180" s="250"/>
      <c r="AG180" s="250">
        <v>3000</v>
      </c>
      <c r="AH180" s="221">
        <v>2212.8589999999999</v>
      </c>
      <c r="AI180" s="424">
        <v>4000</v>
      </c>
      <c r="AJ180" s="47">
        <f t="shared" si="269"/>
        <v>4000</v>
      </c>
      <c r="AK180" s="120">
        <v>11772</v>
      </c>
      <c r="AL180" s="47">
        <f t="shared" si="242"/>
        <v>7000</v>
      </c>
      <c r="AM180" s="43"/>
      <c r="AN180" s="47">
        <v>7000</v>
      </c>
      <c r="AO180" s="43"/>
      <c r="AP180" s="43"/>
      <c r="AQ180" s="47"/>
      <c r="AR180" s="48">
        <f t="shared" si="251"/>
        <v>9494.7999999999993</v>
      </c>
      <c r="AS180" s="49" t="e">
        <f>#REF!-AL180</f>
        <v>#REF!</v>
      </c>
    </row>
    <row r="181" spans="2:45" s="50" customFormat="1" ht="69.75" customHeight="1">
      <c r="B181" s="237">
        <f t="shared" si="250"/>
        <v>5</v>
      </c>
      <c r="C181" s="125" t="s">
        <v>404</v>
      </c>
      <c r="D181" s="38">
        <v>1</v>
      </c>
      <c r="E181" s="47"/>
      <c r="F181" s="47"/>
      <c r="G181" s="68"/>
      <c r="H181" s="68"/>
      <c r="I181" s="47">
        <v>1</v>
      </c>
      <c r="J181" s="47">
        <f t="shared" si="268"/>
        <v>5000</v>
      </c>
      <c r="K181" s="47"/>
      <c r="L181" s="68">
        <v>1</v>
      </c>
      <c r="M181" s="88"/>
      <c r="N181" s="39" t="s">
        <v>409</v>
      </c>
      <c r="O181" s="39" t="s">
        <v>410</v>
      </c>
      <c r="P181" s="39" t="s">
        <v>411</v>
      </c>
      <c r="Q181" s="39">
        <v>7854497</v>
      </c>
      <c r="R181" s="80"/>
      <c r="S181" s="80"/>
      <c r="T181" s="39" t="s">
        <v>114</v>
      </c>
      <c r="U181" s="78"/>
      <c r="V181" s="39" t="s">
        <v>414</v>
      </c>
      <c r="W181" s="68">
        <v>21440</v>
      </c>
      <c r="X181" s="250"/>
      <c r="Y181" s="68">
        <v>21440</v>
      </c>
      <c r="Z181" s="235"/>
      <c r="AA181" s="62">
        <v>15600</v>
      </c>
      <c r="AB181" s="235"/>
      <c r="AC181" s="265">
        <f t="shared" si="270"/>
        <v>19296</v>
      </c>
      <c r="AD181" s="235"/>
      <c r="AE181" s="235"/>
      <c r="AF181" s="250"/>
      <c r="AG181" s="250">
        <v>3000</v>
      </c>
      <c r="AH181" s="221">
        <v>1779.6569999999999</v>
      </c>
      <c r="AI181" s="424">
        <v>4000</v>
      </c>
      <c r="AJ181" s="47">
        <f t="shared" si="269"/>
        <v>4000</v>
      </c>
      <c r="AK181" s="120">
        <v>10440</v>
      </c>
      <c r="AL181" s="47">
        <f t="shared" si="242"/>
        <v>5000</v>
      </c>
      <c r="AM181" s="43"/>
      <c r="AN181" s="47">
        <v>5000</v>
      </c>
      <c r="AO181" s="43"/>
      <c r="AP181" s="43"/>
      <c r="AQ181" s="47"/>
      <c r="AR181" s="48">
        <f t="shared" si="251"/>
        <v>6600</v>
      </c>
      <c r="AS181" s="49" t="e">
        <f>#REF!-AL181</f>
        <v>#REF!</v>
      </c>
    </row>
    <row r="182" spans="2:45" s="50" customFormat="1" ht="69.75" customHeight="1">
      <c r="B182" s="237">
        <f t="shared" si="250"/>
        <v>6</v>
      </c>
      <c r="C182" s="125" t="s">
        <v>405</v>
      </c>
      <c r="D182" s="38">
        <v>1</v>
      </c>
      <c r="E182" s="47"/>
      <c r="F182" s="47"/>
      <c r="G182" s="68"/>
      <c r="H182" s="68"/>
      <c r="I182" s="47">
        <v>1</v>
      </c>
      <c r="J182" s="47">
        <f t="shared" si="268"/>
        <v>4500</v>
      </c>
      <c r="K182" s="47"/>
      <c r="L182" s="68">
        <v>1</v>
      </c>
      <c r="M182" s="88"/>
      <c r="N182" s="39" t="s">
        <v>409</v>
      </c>
      <c r="O182" s="39" t="s">
        <v>410</v>
      </c>
      <c r="P182" s="39" t="s">
        <v>411</v>
      </c>
      <c r="Q182" s="39">
        <v>7854495</v>
      </c>
      <c r="R182" s="80"/>
      <c r="S182" s="80"/>
      <c r="T182" s="39" t="s">
        <v>114</v>
      </c>
      <c r="U182" s="78"/>
      <c r="V182" s="39" t="s">
        <v>415</v>
      </c>
      <c r="W182" s="68">
        <v>28906</v>
      </c>
      <c r="X182" s="250"/>
      <c r="Y182" s="68">
        <f>W182-2330</f>
        <v>26576</v>
      </c>
      <c r="Z182" s="235"/>
      <c r="AA182" s="62">
        <v>14600</v>
      </c>
      <c r="AB182" s="235"/>
      <c r="AC182" s="265">
        <f t="shared" si="270"/>
        <v>23918.400000000001</v>
      </c>
      <c r="AD182" s="235"/>
      <c r="AE182" s="235"/>
      <c r="AF182" s="250"/>
      <c r="AG182" s="250">
        <v>5000</v>
      </c>
      <c r="AH182" s="221">
        <v>1726.5640000000001</v>
      </c>
      <c r="AI182" s="424">
        <v>5000</v>
      </c>
      <c r="AJ182" s="47">
        <f t="shared" si="269"/>
        <v>5000</v>
      </c>
      <c r="AK182" s="120">
        <v>12576</v>
      </c>
      <c r="AL182" s="47">
        <f t="shared" si="242"/>
        <v>4500</v>
      </c>
      <c r="AM182" s="43"/>
      <c r="AN182" s="47">
        <v>4500</v>
      </c>
      <c r="AO182" s="43"/>
      <c r="AP182" s="43"/>
      <c r="AQ182" s="47"/>
      <c r="AR182" s="48">
        <f t="shared" si="251"/>
        <v>5100</v>
      </c>
      <c r="AS182" s="49" t="e">
        <f>#REF!-AL182</f>
        <v>#REF!</v>
      </c>
    </row>
    <row r="183" spans="2:45" s="50" customFormat="1" ht="69.75" customHeight="1">
      <c r="B183" s="237">
        <f t="shared" si="250"/>
        <v>7</v>
      </c>
      <c r="C183" s="125" t="s">
        <v>406</v>
      </c>
      <c r="D183" s="38">
        <v>1</v>
      </c>
      <c r="E183" s="47"/>
      <c r="F183" s="47"/>
      <c r="G183" s="68"/>
      <c r="H183" s="68"/>
      <c r="I183" s="47">
        <v>1</v>
      </c>
      <c r="J183" s="47">
        <f t="shared" si="268"/>
        <v>4000</v>
      </c>
      <c r="K183" s="47"/>
      <c r="L183" s="68">
        <v>1</v>
      </c>
      <c r="M183" s="88"/>
      <c r="N183" s="39" t="s">
        <v>409</v>
      </c>
      <c r="O183" s="39" t="s">
        <v>410</v>
      </c>
      <c r="P183" s="39" t="s">
        <v>411</v>
      </c>
      <c r="Q183" s="39">
        <v>7877578</v>
      </c>
      <c r="R183" s="80"/>
      <c r="S183" s="80"/>
      <c r="T183" s="39" t="s">
        <v>114</v>
      </c>
      <c r="U183" s="78"/>
      <c r="V183" s="39" t="s">
        <v>416</v>
      </c>
      <c r="W183" s="68">
        <v>20072</v>
      </c>
      <c r="X183" s="250"/>
      <c r="Y183" s="68">
        <f>W183-4263</f>
        <v>15809</v>
      </c>
      <c r="Z183" s="235"/>
      <c r="AA183" s="62">
        <v>11300</v>
      </c>
      <c r="AB183" s="235"/>
      <c r="AC183" s="265">
        <f t="shared" si="270"/>
        <v>14228.1</v>
      </c>
      <c r="AD183" s="235"/>
      <c r="AE183" s="235"/>
      <c r="AF183" s="250"/>
      <c r="AG183" s="250">
        <v>3000</v>
      </c>
      <c r="AH183" s="221">
        <v>198.86199999999999</v>
      </c>
      <c r="AI183" s="424">
        <v>3000</v>
      </c>
      <c r="AJ183" s="47">
        <f t="shared" si="269"/>
        <v>3000</v>
      </c>
      <c r="AK183" s="120">
        <v>4809</v>
      </c>
      <c r="AL183" s="47">
        <f t="shared" si="242"/>
        <v>4000</v>
      </c>
      <c r="AM183" s="43"/>
      <c r="AN183" s="47">
        <v>4000</v>
      </c>
      <c r="AO183" s="43"/>
      <c r="AP183" s="43"/>
      <c r="AQ183" s="47"/>
      <c r="AR183" s="48">
        <f t="shared" si="251"/>
        <v>4300</v>
      </c>
      <c r="AS183" s="49" t="e">
        <f>#REF!-AL183</f>
        <v>#REF!</v>
      </c>
    </row>
    <row r="184" spans="2:45" s="50" customFormat="1" ht="68.25" customHeight="1">
      <c r="B184" s="237">
        <f t="shared" si="250"/>
        <v>8</v>
      </c>
      <c r="C184" s="125" t="s">
        <v>407</v>
      </c>
      <c r="D184" s="38">
        <v>1</v>
      </c>
      <c r="E184" s="47"/>
      <c r="F184" s="47"/>
      <c r="G184" s="68"/>
      <c r="H184" s="68"/>
      <c r="I184" s="47">
        <v>1</v>
      </c>
      <c r="J184" s="47">
        <f t="shared" si="268"/>
        <v>7000</v>
      </c>
      <c r="K184" s="47"/>
      <c r="L184" s="68">
        <v>1</v>
      </c>
      <c r="M184" s="88"/>
      <c r="N184" s="39" t="s">
        <v>409</v>
      </c>
      <c r="O184" s="39" t="s">
        <v>410</v>
      </c>
      <c r="P184" s="39" t="s">
        <v>411</v>
      </c>
      <c r="Q184" s="39">
        <v>7877579</v>
      </c>
      <c r="R184" s="80"/>
      <c r="S184" s="80"/>
      <c r="T184" s="39" t="s">
        <v>114</v>
      </c>
      <c r="U184" s="78"/>
      <c r="V184" s="39" t="s">
        <v>417</v>
      </c>
      <c r="W184" s="68">
        <v>27360</v>
      </c>
      <c r="X184" s="250"/>
      <c r="Y184" s="68">
        <f>W184-648</f>
        <v>26712</v>
      </c>
      <c r="Z184" s="235"/>
      <c r="AA184" s="62">
        <v>21900</v>
      </c>
      <c r="AB184" s="235"/>
      <c r="AC184" s="265">
        <f t="shared" si="270"/>
        <v>24040.799999999999</v>
      </c>
      <c r="AD184" s="235"/>
      <c r="AE184" s="235"/>
      <c r="AF184" s="250"/>
      <c r="AG184" s="250">
        <v>5000</v>
      </c>
      <c r="AH184" s="221">
        <v>4660.6570000000002</v>
      </c>
      <c r="AI184" s="424">
        <f>5000+1500</f>
        <v>6500</v>
      </c>
      <c r="AJ184" s="47">
        <f t="shared" si="269"/>
        <v>6500</v>
      </c>
      <c r="AK184" s="120">
        <v>12712</v>
      </c>
      <c r="AL184" s="47">
        <f t="shared" si="242"/>
        <v>7000</v>
      </c>
      <c r="AM184" s="43"/>
      <c r="AN184" s="47">
        <v>7000</v>
      </c>
      <c r="AO184" s="43"/>
      <c r="AP184" s="43"/>
      <c r="AQ184" s="47"/>
      <c r="AR184" s="48">
        <f t="shared" si="251"/>
        <v>8400</v>
      </c>
      <c r="AS184" s="49" t="e">
        <f>#REF!-AL184</f>
        <v>#REF!</v>
      </c>
    </row>
    <row r="185" spans="2:45" s="50" customFormat="1" ht="68.25" customHeight="1">
      <c r="B185" s="237">
        <f t="shared" si="250"/>
        <v>9</v>
      </c>
      <c r="C185" s="125" t="s">
        <v>408</v>
      </c>
      <c r="D185" s="38">
        <v>1</v>
      </c>
      <c r="E185" s="47"/>
      <c r="F185" s="47"/>
      <c r="G185" s="68"/>
      <c r="H185" s="68"/>
      <c r="I185" s="47">
        <v>1</v>
      </c>
      <c r="J185" s="47">
        <f t="shared" si="268"/>
        <v>6500</v>
      </c>
      <c r="K185" s="47"/>
      <c r="L185" s="68">
        <v>1</v>
      </c>
      <c r="M185" s="88"/>
      <c r="N185" s="39" t="s">
        <v>409</v>
      </c>
      <c r="O185" s="39" t="s">
        <v>410</v>
      </c>
      <c r="P185" s="39" t="s">
        <v>411</v>
      </c>
      <c r="Q185" s="39">
        <v>7877587</v>
      </c>
      <c r="R185" s="80"/>
      <c r="S185" s="80"/>
      <c r="T185" s="39" t="s">
        <v>114</v>
      </c>
      <c r="U185" s="78"/>
      <c r="V185" s="39" t="s">
        <v>418</v>
      </c>
      <c r="W185" s="68">
        <v>24862</v>
      </c>
      <c r="X185" s="250"/>
      <c r="Y185" s="68">
        <v>24862</v>
      </c>
      <c r="Z185" s="235"/>
      <c r="AA185" s="62">
        <v>19100</v>
      </c>
      <c r="AB185" s="235"/>
      <c r="AC185" s="265">
        <f t="shared" si="270"/>
        <v>22375.8</v>
      </c>
      <c r="AD185" s="235"/>
      <c r="AE185" s="235"/>
      <c r="AF185" s="250"/>
      <c r="AG185" s="250">
        <v>5000</v>
      </c>
      <c r="AH185" s="221">
        <v>4796.2979999999998</v>
      </c>
      <c r="AI185" s="424">
        <f>5000+1500</f>
        <v>6500</v>
      </c>
      <c r="AJ185" s="47">
        <f t="shared" si="269"/>
        <v>6500</v>
      </c>
      <c r="AK185" s="120">
        <v>10862</v>
      </c>
      <c r="AL185" s="47">
        <f t="shared" si="242"/>
        <v>6500</v>
      </c>
      <c r="AM185" s="43"/>
      <c r="AN185" s="47">
        <v>6500</v>
      </c>
      <c r="AO185" s="43"/>
      <c r="AP185" s="43"/>
      <c r="AQ185" s="47"/>
      <c r="AR185" s="48">
        <f t="shared" si="251"/>
        <v>6100</v>
      </c>
      <c r="AS185" s="49" t="e">
        <f>#REF!-AL185</f>
        <v>#REF!</v>
      </c>
    </row>
    <row r="186" spans="2:45" s="50" customFormat="1" ht="68.25" customHeight="1">
      <c r="B186" s="237">
        <f t="shared" si="250"/>
        <v>10</v>
      </c>
      <c r="C186" s="384" t="s">
        <v>419</v>
      </c>
      <c r="D186" s="441">
        <v>1</v>
      </c>
      <c r="E186" s="47"/>
      <c r="F186" s="47"/>
      <c r="G186" s="386"/>
      <c r="H186" s="386"/>
      <c r="I186" s="47">
        <v>1</v>
      </c>
      <c r="J186" s="47">
        <f t="shared" si="268"/>
        <v>3000</v>
      </c>
      <c r="K186" s="47"/>
      <c r="L186" s="386">
        <v>1</v>
      </c>
      <c r="M186" s="88"/>
      <c r="N186" s="39" t="s">
        <v>409</v>
      </c>
      <c r="O186" s="41" t="s">
        <v>421</v>
      </c>
      <c r="P186" s="39" t="s">
        <v>422</v>
      </c>
      <c r="Q186" s="41">
        <v>7941752</v>
      </c>
      <c r="R186" s="41"/>
      <c r="S186" s="41" t="s">
        <v>423</v>
      </c>
      <c r="T186" s="97" t="s">
        <v>424</v>
      </c>
      <c r="U186" s="39"/>
      <c r="V186" s="97" t="s">
        <v>927</v>
      </c>
      <c r="W186" s="61">
        <v>9776</v>
      </c>
      <c r="X186" s="250"/>
      <c r="Y186" s="68">
        <v>10700</v>
      </c>
      <c r="Z186" s="235"/>
      <c r="AA186" s="68">
        <v>8000</v>
      </c>
      <c r="AB186" s="235"/>
      <c r="AC186" s="250">
        <v>10700</v>
      </c>
      <c r="AD186" s="235"/>
      <c r="AE186" s="235"/>
      <c r="AF186" s="250"/>
      <c r="AG186" s="213">
        <v>2400</v>
      </c>
      <c r="AH186" s="221">
        <v>300.93799999999999</v>
      </c>
      <c r="AI186" s="213">
        <v>2400</v>
      </c>
      <c r="AJ186" s="47">
        <f t="shared" si="269"/>
        <v>2400</v>
      </c>
      <c r="AK186" s="120">
        <v>8300</v>
      </c>
      <c r="AL186" s="47">
        <f t="shared" si="242"/>
        <v>3000</v>
      </c>
      <c r="AM186" s="43"/>
      <c r="AN186" s="47">
        <v>3000</v>
      </c>
      <c r="AO186" s="43"/>
      <c r="AP186" s="43"/>
      <c r="AQ186" s="47"/>
      <c r="AR186" s="48">
        <f t="shared" si="251"/>
        <v>2600</v>
      </c>
      <c r="AS186" s="49" t="e">
        <f>#REF!-AL186</f>
        <v>#REF!</v>
      </c>
    </row>
    <row r="187" spans="2:45" s="50" customFormat="1" ht="68.25" customHeight="1">
      <c r="B187" s="237">
        <f t="shared" si="250"/>
        <v>11</v>
      </c>
      <c r="C187" s="384" t="s">
        <v>420</v>
      </c>
      <c r="D187" s="441">
        <v>1</v>
      </c>
      <c r="E187" s="47"/>
      <c r="F187" s="47"/>
      <c r="G187" s="386"/>
      <c r="H187" s="386"/>
      <c r="I187" s="47">
        <v>1</v>
      </c>
      <c r="J187" s="47">
        <f t="shared" si="268"/>
        <v>1800</v>
      </c>
      <c r="K187" s="47"/>
      <c r="L187" s="386">
        <v>1</v>
      </c>
      <c r="M187" s="88"/>
      <c r="N187" s="39" t="s">
        <v>409</v>
      </c>
      <c r="O187" s="41" t="s">
        <v>421</v>
      </c>
      <c r="P187" s="39" t="s">
        <v>422</v>
      </c>
      <c r="Q187" s="41">
        <v>7941753</v>
      </c>
      <c r="R187" s="41"/>
      <c r="S187" s="41" t="s">
        <v>425</v>
      </c>
      <c r="T187" s="97" t="s">
        <v>424</v>
      </c>
      <c r="U187" s="39"/>
      <c r="V187" s="97" t="s">
        <v>928</v>
      </c>
      <c r="W187" s="61">
        <v>12375</v>
      </c>
      <c r="X187" s="250"/>
      <c r="Y187" s="68">
        <v>10140</v>
      </c>
      <c r="Z187" s="235"/>
      <c r="AA187" s="68">
        <v>4300</v>
      </c>
      <c r="AB187" s="235"/>
      <c r="AC187" s="250">
        <v>10140</v>
      </c>
      <c r="AD187" s="235"/>
      <c r="AE187" s="235"/>
      <c r="AF187" s="235"/>
      <c r="AG187" s="213">
        <v>2500</v>
      </c>
      <c r="AH187" s="221">
        <v>456.58499999999998</v>
      </c>
      <c r="AI187" s="213">
        <v>2500</v>
      </c>
      <c r="AJ187" s="47">
        <f t="shared" si="269"/>
        <v>2500</v>
      </c>
      <c r="AK187" s="120">
        <v>7640</v>
      </c>
      <c r="AL187" s="47">
        <f t="shared" si="242"/>
        <v>1800</v>
      </c>
      <c r="AM187" s="43"/>
      <c r="AN187" s="47">
        <v>1800</v>
      </c>
      <c r="AO187" s="43"/>
      <c r="AP187" s="43"/>
      <c r="AQ187" s="47"/>
      <c r="AR187" s="48">
        <f t="shared" si="251"/>
        <v>0</v>
      </c>
      <c r="AS187" s="49" t="e">
        <f>#REF!-AL187</f>
        <v>#REF!</v>
      </c>
    </row>
    <row r="188" spans="2:45" s="50" customFormat="1">
      <c r="B188" s="89"/>
      <c r="C188" s="346" t="s">
        <v>453</v>
      </c>
      <c r="D188" s="247">
        <f t="shared" ref="D188:J188" si="271">D189</f>
        <v>1</v>
      </c>
      <c r="E188" s="43">
        <f t="shared" si="271"/>
        <v>0</v>
      </c>
      <c r="F188" s="43">
        <f t="shared" si="271"/>
        <v>0</v>
      </c>
      <c r="G188" s="43">
        <f t="shared" si="271"/>
        <v>0</v>
      </c>
      <c r="H188" s="43">
        <f t="shared" si="271"/>
        <v>0</v>
      </c>
      <c r="I188" s="43">
        <f t="shared" si="271"/>
        <v>1</v>
      </c>
      <c r="J188" s="43">
        <f t="shared" si="271"/>
        <v>2000</v>
      </c>
      <c r="K188" s="43">
        <f t="shared" ref="K188:M188" si="272">K189</f>
        <v>0</v>
      </c>
      <c r="L188" s="43">
        <f t="shared" si="272"/>
        <v>1</v>
      </c>
      <c r="M188" s="246">
        <f t="shared" si="272"/>
        <v>0</v>
      </c>
      <c r="N188" s="39"/>
      <c r="O188" s="39"/>
      <c r="P188" s="39"/>
      <c r="Q188" s="39"/>
      <c r="R188" s="39"/>
      <c r="S188" s="39"/>
      <c r="T188" s="39"/>
      <c r="U188" s="39"/>
      <c r="V188" s="39"/>
      <c r="W188" s="43">
        <f t="shared" ref="W188:AP188" si="273">W189</f>
        <v>25982</v>
      </c>
      <c r="X188" s="235">
        <f t="shared" ref="X188" si="274">X189</f>
        <v>0</v>
      </c>
      <c r="Y188" s="43">
        <f t="shared" si="273"/>
        <v>25900</v>
      </c>
      <c r="Z188" s="43">
        <f t="shared" si="273"/>
        <v>0</v>
      </c>
      <c r="AA188" s="43">
        <f t="shared" si="273"/>
        <v>15000</v>
      </c>
      <c r="AB188" s="235">
        <f t="shared" si="273"/>
        <v>0</v>
      </c>
      <c r="AC188" s="235">
        <f t="shared" si="273"/>
        <v>23310</v>
      </c>
      <c r="AD188" s="235">
        <f t="shared" si="273"/>
        <v>0</v>
      </c>
      <c r="AE188" s="235">
        <f t="shared" si="273"/>
        <v>0</v>
      </c>
      <c r="AF188" s="235">
        <f t="shared" si="273"/>
        <v>0</v>
      </c>
      <c r="AG188" s="235">
        <f t="shared" si="273"/>
        <v>5000</v>
      </c>
      <c r="AH188" s="235">
        <f t="shared" si="273"/>
        <v>294.71699999999998</v>
      </c>
      <c r="AI188" s="235">
        <f t="shared" si="273"/>
        <v>2500</v>
      </c>
      <c r="AJ188" s="43">
        <f t="shared" si="273"/>
        <v>2500</v>
      </c>
      <c r="AK188" s="235">
        <f t="shared" si="273"/>
        <v>18300</v>
      </c>
      <c r="AL188" s="43">
        <f t="shared" si="273"/>
        <v>2000</v>
      </c>
      <c r="AM188" s="43">
        <f t="shared" si="273"/>
        <v>0</v>
      </c>
      <c r="AN188" s="43">
        <f t="shared" si="273"/>
        <v>2000</v>
      </c>
      <c r="AO188" s="43">
        <f t="shared" si="273"/>
        <v>0</v>
      </c>
      <c r="AP188" s="43">
        <f t="shared" si="273"/>
        <v>0</v>
      </c>
      <c r="AQ188" s="47"/>
      <c r="AR188" s="48">
        <f t="shared" ref="AR188:AR220" si="275">AA188-(AF188+AI188+AL188)</f>
        <v>10500</v>
      </c>
      <c r="AS188" s="49" t="e">
        <f>#REF!-AL188</f>
        <v>#REF!</v>
      </c>
    </row>
    <row r="189" spans="2:45" s="50" customFormat="1" ht="54" customHeight="1">
      <c r="B189" s="237">
        <f t="shared" si="250"/>
        <v>1</v>
      </c>
      <c r="C189" s="102" t="s">
        <v>929</v>
      </c>
      <c r="D189" s="38">
        <v>1</v>
      </c>
      <c r="E189" s="47"/>
      <c r="F189" s="47"/>
      <c r="G189" s="68"/>
      <c r="H189" s="68"/>
      <c r="I189" s="47">
        <v>1</v>
      </c>
      <c r="J189" s="47">
        <f>I189*AL189</f>
        <v>2000</v>
      </c>
      <c r="K189" s="47"/>
      <c r="L189" s="68">
        <v>1</v>
      </c>
      <c r="M189" s="88"/>
      <c r="N189" s="39" t="s">
        <v>195</v>
      </c>
      <c r="O189" s="39" t="s">
        <v>460</v>
      </c>
      <c r="P189" s="39" t="s">
        <v>456</v>
      </c>
      <c r="Q189" s="39"/>
      <c r="R189" s="80"/>
      <c r="S189" s="39" t="s">
        <v>464</v>
      </c>
      <c r="T189" s="39" t="s">
        <v>114</v>
      </c>
      <c r="U189" s="39"/>
      <c r="V189" s="39" t="s">
        <v>465</v>
      </c>
      <c r="W189" s="68">
        <v>25982</v>
      </c>
      <c r="X189" s="120"/>
      <c r="Y189" s="68">
        <v>25900</v>
      </c>
      <c r="Z189" s="235"/>
      <c r="AA189" s="47">
        <v>15000</v>
      </c>
      <c r="AB189" s="235"/>
      <c r="AC189" s="265">
        <f>Y189*0.9</f>
        <v>23310</v>
      </c>
      <c r="AD189" s="235"/>
      <c r="AE189" s="235"/>
      <c r="AF189" s="235"/>
      <c r="AG189" s="250">
        <v>5000</v>
      </c>
      <c r="AH189" s="221">
        <v>294.71699999999998</v>
      </c>
      <c r="AI189" s="424">
        <v>2500</v>
      </c>
      <c r="AJ189" s="47">
        <f t="shared" ref="AJ189" si="276">AF189+AI189</f>
        <v>2500</v>
      </c>
      <c r="AK189" s="120">
        <v>18300</v>
      </c>
      <c r="AL189" s="47">
        <f t="shared" si="242"/>
        <v>2000</v>
      </c>
      <c r="AM189" s="43"/>
      <c r="AN189" s="47">
        <v>2000</v>
      </c>
      <c r="AO189" s="43"/>
      <c r="AP189" s="43"/>
      <c r="AQ189" s="47"/>
      <c r="AR189" s="48">
        <f t="shared" si="275"/>
        <v>10500</v>
      </c>
      <c r="AS189" s="49" t="e">
        <f>#REF!-AL189</f>
        <v>#REF!</v>
      </c>
    </row>
    <row r="190" spans="2:45" s="50" customFormat="1" ht="31.5" customHeight="1">
      <c r="B190" s="89"/>
      <c r="C190" s="346" t="s">
        <v>471</v>
      </c>
      <c r="D190" s="247">
        <f t="shared" ref="D190:J190" si="277">D191+D192+D193+D194+D195+D196+D197</f>
        <v>7</v>
      </c>
      <c r="E190" s="43">
        <f t="shared" si="277"/>
        <v>0</v>
      </c>
      <c r="F190" s="43">
        <f t="shared" si="277"/>
        <v>0</v>
      </c>
      <c r="G190" s="43">
        <f t="shared" si="277"/>
        <v>0</v>
      </c>
      <c r="H190" s="43">
        <f t="shared" si="277"/>
        <v>0</v>
      </c>
      <c r="I190" s="43">
        <f t="shared" si="277"/>
        <v>7</v>
      </c>
      <c r="J190" s="43">
        <f t="shared" si="277"/>
        <v>40300</v>
      </c>
      <c r="K190" s="43">
        <f t="shared" ref="K190:M190" si="278">SUM(K191:K197)</f>
        <v>0</v>
      </c>
      <c r="L190" s="43">
        <f t="shared" si="278"/>
        <v>7</v>
      </c>
      <c r="M190" s="246">
        <f t="shared" si="278"/>
        <v>0</v>
      </c>
      <c r="N190" s="39"/>
      <c r="O190" s="39"/>
      <c r="P190" s="39"/>
      <c r="Q190" s="39"/>
      <c r="R190" s="39"/>
      <c r="S190" s="39"/>
      <c r="T190" s="39"/>
      <c r="U190" s="39"/>
      <c r="V190" s="39"/>
      <c r="W190" s="43">
        <f>W191+W192+W193+W194+W195+W196+W197</f>
        <v>183152</v>
      </c>
      <c r="X190" s="235">
        <f t="shared" ref="X190" si="279">SUM(X191:X197)</f>
        <v>0</v>
      </c>
      <c r="Y190" s="43">
        <f t="shared" ref="Y190:AP190" si="280">Y191+Y192+Y193+Y194+Y195+Y196+Y197</f>
        <v>168250</v>
      </c>
      <c r="Z190" s="43">
        <f t="shared" si="280"/>
        <v>0</v>
      </c>
      <c r="AA190" s="43">
        <f t="shared" si="280"/>
        <v>137140</v>
      </c>
      <c r="AB190" s="235">
        <f t="shared" si="280"/>
        <v>0</v>
      </c>
      <c r="AC190" s="235">
        <f t="shared" si="280"/>
        <v>151425</v>
      </c>
      <c r="AD190" s="235">
        <f t="shared" si="280"/>
        <v>0</v>
      </c>
      <c r="AE190" s="235">
        <f t="shared" si="280"/>
        <v>0</v>
      </c>
      <c r="AF190" s="235">
        <f t="shared" si="280"/>
        <v>7263.9760000000006</v>
      </c>
      <c r="AG190" s="235">
        <f t="shared" si="280"/>
        <v>14400</v>
      </c>
      <c r="AH190" s="235">
        <f t="shared" si="280"/>
        <v>7836.4830000000002</v>
      </c>
      <c r="AI190" s="235">
        <f t="shared" si="280"/>
        <v>18400</v>
      </c>
      <c r="AJ190" s="43">
        <f t="shared" si="280"/>
        <v>25663.976000000002</v>
      </c>
      <c r="AK190" s="235">
        <f t="shared" si="280"/>
        <v>40500</v>
      </c>
      <c r="AL190" s="43">
        <f t="shared" si="280"/>
        <v>40300</v>
      </c>
      <c r="AM190" s="43">
        <f t="shared" si="280"/>
        <v>0</v>
      </c>
      <c r="AN190" s="43">
        <f t="shared" si="280"/>
        <v>40300</v>
      </c>
      <c r="AO190" s="43">
        <f t="shared" si="280"/>
        <v>0</v>
      </c>
      <c r="AP190" s="43">
        <f t="shared" si="280"/>
        <v>0</v>
      </c>
      <c r="AQ190" s="47"/>
      <c r="AR190" s="48">
        <f t="shared" si="275"/>
        <v>71176.024000000005</v>
      </c>
      <c r="AS190" s="49" t="e">
        <f>#REF!-AL190</f>
        <v>#REF!</v>
      </c>
    </row>
    <row r="191" spans="2:45" s="50" customFormat="1" ht="52.5" customHeight="1">
      <c r="B191" s="237">
        <f t="shared" si="250"/>
        <v>1</v>
      </c>
      <c r="C191" s="125" t="s">
        <v>930</v>
      </c>
      <c r="D191" s="38">
        <v>1</v>
      </c>
      <c r="E191" s="47"/>
      <c r="F191" s="47"/>
      <c r="G191" s="68"/>
      <c r="H191" s="68"/>
      <c r="I191" s="47">
        <v>1</v>
      </c>
      <c r="J191" s="47">
        <f t="shared" ref="J191:J197" si="281">I191*AL191</f>
        <v>6500</v>
      </c>
      <c r="K191" s="47"/>
      <c r="L191" s="68">
        <v>1</v>
      </c>
      <c r="M191" s="88"/>
      <c r="N191" s="39" t="s">
        <v>108</v>
      </c>
      <c r="O191" s="39" t="s">
        <v>488</v>
      </c>
      <c r="P191" s="39" t="s">
        <v>474</v>
      </c>
      <c r="Q191" s="103">
        <v>7891854</v>
      </c>
      <c r="R191" s="39"/>
      <c r="S191" s="39"/>
      <c r="T191" s="105" t="s">
        <v>114</v>
      </c>
      <c r="U191" s="39"/>
      <c r="V191" s="39" t="s">
        <v>481</v>
      </c>
      <c r="W191" s="47">
        <v>21282</v>
      </c>
      <c r="X191" s="120"/>
      <c r="Y191" s="47">
        <v>28190</v>
      </c>
      <c r="Z191" s="235"/>
      <c r="AA191" s="47">
        <v>20700</v>
      </c>
      <c r="AB191" s="235"/>
      <c r="AC191" s="265">
        <f t="shared" ref="AC191:AC197" si="282">Y191*0.9</f>
        <v>25371</v>
      </c>
      <c r="AD191" s="235"/>
      <c r="AE191" s="235"/>
      <c r="AF191" s="264">
        <v>500</v>
      </c>
      <c r="AG191" s="250">
        <v>1500</v>
      </c>
      <c r="AH191" s="213">
        <v>1496.3209999999999</v>
      </c>
      <c r="AI191" s="250">
        <f>1500</f>
        <v>1500</v>
      </c>
      <c r="AJ191" s="47">
        <f t="shared" ref="AJ191:AJ197" si="283">AF191+AI191</f>
        <v>2000</v>
      </c>
      <c r="AK191" s="213">
        <v>6500</v>
      </c>
      <c r="AL191" s="47">
        <f t="shared" si="242"/>
        <v>6500</v>
      </c>
      <c r="AM191" s="43"/>
      <c r="AN191" s="44">
        <v>6500</v>
      </c>
      <c r="AO191" s="43"/>
      <c r="AP191" s="43"/>
      <c r="AQ191" s="47"/>
      <c r="AR191" s="49">
        <f t="shared" si="275"/>
        <v>12200</v>
      </c>
      <c r="AS191" s="49" t="e">
        <f>#REF!-AL191</f>
        <v>#REF!</v>
      </c>
    </row>
    <row r="192" spans="2:45" s="50" customFormat="1" ht="52.5" customHeight="1">
      <c r="B192" s="237">
        <f t="shared" si="250"/>
        <v>2</v>
      </c>
      <c r="C192" s="125" t="s">
        <v>931</v>
      </c>
      <c r="D192" s="38">
        <v>1</v>
      </c>
      <c r="E192" s="47"/>
      <c r="F192" s="47"/>
      <c r="G192" s="68"/>
      <c r="H192" s="68"/>
      <c r="I192" s="47">
        <v>1</v>
      </c>
      <c r="J192" s="47">
        <f t="shared" si="281"/>
        <v>9000</v>
      </c>
      <c r="K192" s="47"/>
      <c r="L192" s="68">
        <v>1</v>
      </c>
      <c r="M192" s="88"/>
      <c r="N192" s="39" t="s">
        <v>108</v>
      </c>
      <c r="O192" s="39" t="s">
        <v>488</v>
      </c>
      <c r="P192" s="39" t="s">
        <v>474</v>
      </c>
      <c r="Q192" s="103">
        <v>7891860</v>
      </c>
      <c r="R192" s="39"/>
      <c r="S192" s="39"/>
      <c r="T192" s="105" t="s">
        <v>114</v>
      </c>
      <c r="U192" s="39"/>
      <c r="V192" s="39" t="s">
        <v>482</v>
      </c>
      <c r="W192" s="47">
        <v>34130</v>
      </c>
      <c r="X192" s="120"/>
      <c r="Y192" s="47">
        <v>31000</v>
      </c>
      <c r="Z192" s="235"/>
      <c r="AA192" s="47">
        <v>27900</v>
      </c>
      <c r="AB192" s="235"/>
      <c r="AC192" s="265">
        <f t="shared" si="282"/>
        <v>27900</v>
      </c>
      <c r="AD192" s="235"/>
      <c r="AE192" s="235"/>
      <c r="AF192" s="264">
        <v>500</v>
      </c>
      <c r="AG192" s="250">
        <f>1500+1600</f>
        <v>3100</v>
      </c>
      <c r="AH192" s="213"/>
      <c r="AI192" s="250">
        <f>1500+1600</f>
        <v>3100</v>
      </c>
      <c r="AJ192" s="47">
        <f t="shared" si="283"/>
        <v>3600</v>
      </c>
      <c r="AK192" s="213">
        <v>9000</v>
      </c>
      <c r="AL192" s="47">
        <f t="shared" si="242"/>
        <v>9000</v>
      </c>
      <c r="AM192" s="43"/>
      <c r="AN192" s="44">
        <v>9000</v>
      </c>
      <c r="AO192" s="43"/>
      <c r="AP192" s="43"/>
      <c r="AQ192" s="47"/>
      <c r="AR192" s="49">
        <f t="shared" si="275"/>
        <v>15300</v>
      </c>
      <c r="AS192" s="49" t="e">
        <f>#REF!-AL192</f>
        <v>#REF!</v>
      </c>
    </row>
    <row r="193" spans="2:45" s="50" customFormat="1" ht="52.5" customHeight="1">
      <c r="B193" s="237">
        <f t="shared" si="250"/>
        <v>3</v>
      </c>
      <c r="C193" s="125" t="s">
        <v>932</v>
      </c>
      <c r="D193" s="38">
        <v>1</v>
      </c>
      <c r="E193" s="47"/>
      <c r="F193" s="47"/>
      <c r="G193" s="68"/>
      <c r="H193" s="68"/>
      <c r="I193" s="47">
        <v>1</v>
      </c>
      <c r="J193" s="47">
        <f t="shared" si="281"/>
        <v>6000</v>
      </c>
      <c r="K193" s="47"/>
      <c r="L193" s="68">
        <v>1</v>
      </c>
      <c r="M193" s="88"/>
      <c r="N193" s="39" t="s">
        <v>108</v>
      </c>
      <c r="O193" s="39" t="s">
        <v>488</v>
      </c>
      <c r="P193" s="39" t="s">
        <v>474</v>
      </c>
      <c r="Q193" s="103">
        <v>7891851</v>
      </c>
      <c r="R193" s="39"/>
      <c r="S193" s="39"/>
      <c r="T193" s="105" t="s">
        <v>114</v>
      </c>
      <c r="U193" s="39"/>
      <c r="V193" s="39" t="s">
        <v>483</v>
      </c>
      <c r="W193" s="47">
        <v>29295</v>
      </c>
      <c r="X193" s="120"/>
      <c r="Y193" s="47">
        <v>23500</v>
      </c>
      <c r="Z193" s="235"/>
      <c r="AA193" s="47">
        <v>21150</v>
      </c>
      <c r="AB193" s="235"/>
      <c r="AC193" s="265">
        <f t="shared" si="282"/>
        <v>21150</v>
      </c>
      <c r="AD193" s="235"/>
      <c r="AE193" s="235"/>
      <c r="AF193" s="264">
        <v>200</v>
      </c>
      <c r="AG193" s="250">
        <v>1500</v>
      </c>
      <c r="AH193" s="425">
        <v>109.73099999999999</v>
      </c>
      <c r="AI193" s="250">
        <f>1500</f>
        <v>1500</v>
      </c>
      <c r="AJ193" s="47">
        <f t="shared" si="283"/>
        <v>1700</v>
      </c>
      <c r="AK193" s="213">
        <v>6000</v>
      </c>
      <c r="AL193" s="47">
        <f t="shared" si="242"/>
        <v>6000</v>
      </c>
      <c r="AM193" s="43"/>
      <c r="AN193" s="44">
        <v>6000</v>
      </c>
      <c r="AO193" s="43"/>
      <c r="AP193" s="43"/>
      <c r="AQ193" s="47"/>
      <c r="AR193" s="49">
        <f t="shared" si="275"/>
        <v>13450</v>
      </c>
      <c r="AS193" s="49" t="e">
        <f>#REF!-AL193</f>
        <v>#REF!</v>
      </c>
    </row>
    <row r="194" spans="2:45" s="50" customFormat="1" ht="52.5" customHeight="1">
      <c r="B194" s="237">
        <f t="shared" si="250"/>
        <v>4</v>
      </c>
      <c r="C194" s="125" t="s">
        <v>933</v>
      </c>
      <c r="D194" s="38">
        <v>1</v>
      </c>
      <c r="E194" s="47"/>
      <c r="F194" s="47"/>
      <c r="G194" s="68"/>
      <c r="H194" s="68"/>
      <c r="I194" s="47">
        <v>1</v>
      </c>
      <c r="J194" s="47">
        <f t="shared" si="281"/>
        <v>4000</v>
      </c>
      <c r="K194" s="47"/>
      <c r="L194" s="68">
        <v>1</v>
      </c>
      <c r="M194" s="88"/>
      <c r="N194" s="39" t="s">
        <v>108</v>
      </c>
      <c r="O194" s="39" t="s">
        <v>488</v>
      </c>
      <c r="P194" s="39" t="s">
        <v>474</v>
      </c>
      <c r="Q194" s="103">
        <v>7891858</v>
      </c>
      <c r="R194" s="39"/>
      <c r="S194" s="39"/>
      <c r="T194" s="105" t="s">
        <v>114</v>
      </c>
      <c r="U194" s="39"/>
      <c r="V194" s="39" t="s">
        <v>484</v>
      </c>
      <c r="W194" s="47">
        <v>26676</v>
      </c>
      <c r="X194" s="120"/>
      <c r="Y194" s="47">
        <v>15086</v>
      </c>
      <c r="Z194" s="235"/>
      <c r="AA194" s="47">
        <v>13800</v>
      </c>
      <c r="AB194" s="235"/>
      <c r="AC194" s="265">
        <f t="shared" si="282"/>
        <v>13577.4</v>
      </c>
      <c r="AD194" s="235"/>
      <c r="AE194" s="235"/>
      <c r="AF194" s="218">
        <v>600</v>
      </c>
      <c r="AG194" s="250">
        <v>1500</v>
      </c>
      <c r="AH194" s="213">
        <v>1496.7149999999999</v>
      </c>
      <c r="AI194" s="250">
        <f>1500</f>
        <v>1500</v>
      </c>
      <c r="AJ194" s="47">
        <f t="shared" si="283"/>
        <v>2100</v>
      </c>
      <c r="AK194" s="120">
        <v>4000</v>
      </c>
      <c r="AL194" s="47">
        <f t="shared" si="242"/>
        <v>4000</v>
      </c>
      <c r="AM194" s="43"/>
      <c r="AN194" s="47">
        <v>4000</v>
      </c>
      <c r="AO194" s="43"/>
      <c r="AP194" s="43"/>
      <c r="AQ194" s="47"/>
      <c r="AR194" s="49">
        <f t="shared" si="275"/>
        <v>7700</v>
      </c>
      <c r="AS194" s="49" t="e">
        <f>#REF!-AL194</f>
        <v>#REF!</v>
      </c>
    </row>
    <row r="195" spans="2:45" s="50" customFormat="1" ht="52.5" customHeight="1">
      <c r="B195" s="237">
        <f t="shared" si="250"/>
        <v>5</v>
      </c>
      <c r="C195" s="125" t="s">
        <v>934</v>
      </c>
      <c r="D195" s="38">
        <v>1</v>
      </c>
      <c r="E195" s="47"/>
      <c r="F195" s="47"/>
      <c r="G195" s="68"/>
      <c r="H195" s="68"/>
      <c r="I195" s="47">
        <v>1</v>
      </c>
      <c r="J195" s="47">
        <f t="shared" si="281"/>
        <v>5000</v>
      </c>
      <c r="K195" s="47"/>
      <c r="L195" s="68">
        <v>1</v>
      </c>
      <c r="M195" s="88"/>
      <c r="N195" s="39" t="s">
        <v>108</v>
      </c>
      <c r="O195" s="39" t="s">
        <v>488</v>
      </c>
      <c r="P195" s="39" t="s">
        <v>474</v>
      </c>
      <c r="Q195" s="103">
        <v>7891856</v>
      </c>
      <c r="R195" s="39"/>
      <c r="S195" s="39"/>
      <c r="T195" s="105" t="s">
        <v>114</v>
      </c>
      <c r="U195" s="39"/>
      <c r="V195" s="39" t="s">
        <v>485</v>
      </c>
      <c r="W195" s="47">
        <v>20841</v>
      </c>
      <c r="X195" s="120"/>
      <c r="Y195" s="47">
        <v>20800</v>
      </c>
      <c r="Z195" s="235"/>
      <c r="AA195" s="47">
        <v>18720</v>
      </c>
      <c r="AB195" s="235"/>
      <c r="AC195" s="265">
        <f t="shared" si="282"/>
        <v>18720</v>
      </c>
      <c r="AD195" s="235"/>
      <c r="AE195" s="235"/>
      <c r="AF195" s="218">
        <v>163.976</v>
      </c>
      <c r="AG195" s="250">
        <v>1400</v>
      </c>
      <c r="AH195" s="213">
        <v>470.03399999999999</v>
      </c>
      <c r="AI195" s="250">
        <f>1400</f>
        <v>1400</v>
      </c>
      <c r="AJ195" s="47">
        <f t="shared" si="283"/>
        <v>1563.9760000000001</v>
      </c>
      <c r="AK195" s="120">
        <v>5000</v>
      </c>
      <c r="AL195" s="47">
        <f t="shared" si="242"/>
        <v>5000</v>
      </c>
      <c r="AM195" s="47"/>
      <c r="AN195" s="47">
        <v>5000</v>
      </c>
      <c r="AO195" s="43"/>
      <c r="AP195" s="43"/>
      <c r="AQ195" s="47"/>
      <c r="AR195" s="49">
        <f t="shared" si="275"/>
        <v>12156.023999999999</v>
      </c>
      <c r="AS195" s="49" t="e">
        <f>#REF!-AL195</f>
        <v>#REF!</v>
      </c>
    </row>
    <row r="196" spans="2:45" s="50" customFormat="1" ht="52.5" customHeight="1">
      <c r="B196" s="237">
        <f t="shared" si="250"/>
        <v>6</v>
      </c>
      <c r="C196" s="125" t="s">
        <v>935</v>
      </c>
      <c r="D196" s="38">
        <v>1</v>
      </c>
      <c r="E196" s="47"/>
      <c r="F196" s="47"/>
      <c r="G196" s="68"/>
      <c r="H196" s="68"/>
      <c r="I196" s="47">
        <v>1</v>
      </c>
      <c r="J196" s="47">
        <f t="shared" si="281"/>
        <v>5000</v>
      </c>
      <c r="K196" s="47"/>
      <c r="L196" s="68">
        <v>1</v>
      </c>
      <c r="M196" s="88"/>
      <c r="N196" s="39" t="s">
        <v>108</v>
      </c>
      <c r="O196" s="39" t="s">
        <v>488</v>
      </c>
      <c r="P196" s="39" t="s">
        <v>474</v>
      </c>
      <c r="Q196" s="103">
        <v>7891857</v>
      </c>
      <c r="R196" s="39"/>
      <c r="S196" s="39"/>
      <c r="T196" s="105" t="s">
        <v>114</v>
      </c>
      <c r="U196" s="39"/>
      <c r="V196" s="39" t="s">
        <v>486</v>
      </c>
      <c r="W196" s="47">
        <v>21540</v>
      </c>
      <c r="X196" s="120"/>
      <c r="Y196" s="47">
        <v>20674</v>
      </c>
      <c r="Z196" s="235"/>
      <c r="AA196" s="47">
        <v>17500</v>
      </c>
      <c r="AB196" s="235"/>
      <c r="AC196" s="265">
        <f t="shared" si="282"/>
        <v>18606.600000000002</v>
      </c>
      <c r="AD196" s="235"/>
      <c r="AE196" s="235"/>
      <c r="AF196" s="218">
        <v>800</v>
      </c>
      <c r="AG196" s="250">
        <v>1400</v>
      </c>
      <c r="AH196" s="213">
        <v>1313.643</v>
      </c>
      <c r="AI196" s="250">
        <f>1400</f>
        <v>1400</v>
      </c>
      <c r="AJ196" s="47">
        <f t="shared" si="283"/>
        <v>2200</v>
      </c>
      <c r="AK196" s="120">
        <v>5000</v>
      </c>
      <c r="AL196" s="47">
        <f t="shared" si="242"/>
        <v>5000</v>
      </c>
      <c r="AM196" s="43"/>
      <c r="AN196" s="47">
        <v>5000</v>
      </c>
      <c r="AO196" s="43"/>
      <c r="AP196" s="43"/>
      <c r="AQ196" s="47"/>
      <c r="AR196" s="49">
        <f t="shared" si="275"/>
        <v>10300</v>
      </c>
      <c r="AS196" s="49" t="e">
        <f>#REF!-AL196</f>
        <v>#REF!</v>
      </c>
    </row>
    <row r="197" spans="2:45" s="50" customFormat="1" ht="52.5" customHeight="1">
      <c r="B197" s="237">
        <f t="shared" si="250"/>
        <v>7</v>
      </c>
      <c r="C197" s="102" t="s">
        <v>936</v>
      </c>
      <c r="D197" s="38">
        <v>1</v>
      </c>
      <c r="E197" s="47"/>
      <c r="F197" s="47"/>
      <c r="G197" s="68"/>
      <c r="H197" s="68"/>
      <c r="I197" s="47">
        <v>1</v>
      </c>
      <c r="J197" s="47">
        <f t="shared" si="281"/>
        <v>4800</v>
      </c>
      <c r="K197" s="47"/>
      <c r="L197" s="68">
        <v>1</v>
      </c>
      <c r="M197" s="88"/>
      <c r="N197" s="39" t="s">
        <v>108</v>
      </c>
      <c r="O197" s="39" t="s">
        <v>488</v>
      </c>
      <c r="P197" s="39" t="s">
        <v>474</v>
      </c>
      <c r="Q197" s="40">
        <v>7876397</v>
      </c>
      <c r="R197" s="39"/>
      <c r="S197" s="39"/>
      <c r="T197" s="39" t="s">
        <v>478</v>
      </c>
      <c r="U197" s="39"/>
      <c r="V197" s="39" t="s">
        <v>487</v>
      </c>
      <c r="W197" s="68">
        <v>29388</v>
      </c>
      <c r="X197" s="250"/>
      <c r="Y197" s="68">
        <v>29000</v>
      </c>
      <c r="Z197" s="235"/>
      <c r="AA197" s="47">
        <f>19300*0.9</f>
        <v>17370</v>
      </c>
      <c r="AB197" s="235"/>
      <c r="AC197" s="265">
        <f t="shared" si="282"/>
        <v>26100</v>
      </c>
      <c r="AD197" s="235"/>
      <c r="AE197" s="235"/>
      <c r="AF197" s="250">
        <v>4500</v>
      </c>
      <c r="AG197" s="250">
        <v>4000</v>
      </c>
      <c r="AH197" s="213">
        <v>2950.0390000000002</v>
      </c>
      <c r="AI197" s="250">
        <f>4000+4000</f>
        <v>8000</v>
      </c>
      <c r="AJ197" s="47">
        <f t="shared" si="283"/>
        <v>12500</v>
      </c>
      <c r="AK197" s="213">
        <v>5000</v>
      </c>
      <c r="AL197" s="47">
        <f t="shared" si="242"/>
        <v>4800</v>
      </c>
      <c r="AM197" s="43"/>
      <c r="AN197" s="44">
        <v>4800</v>
      </c>
      <c r="AO197" s="43"/>
      <c r="AP197" s="43"/>
      <c r="AQ197" s="47"/>
      <c r="AR197" s="49">
        <f t="shared" si="275"/>
        <v>70</v>
      </c>
      <c r="AS197" s="49" t="e">
        <f>#REF!-AL197</f>
        <v>#REF!</v>
      </c>
    </row>
    <row r="198" spans="2:45" s="50" customFormat="1" ht="24.95" customHeight="1">
      <c r="B198" s="89"/>
      <c r="C198" s="346" t="s">
        <v>267</v>
      </c>
      <c r="D198" s="247">
        <f t="shared" ref="D198:M198" si="284">D199+D200+D201+D202+D203</f>
        <v>5</v>
      </c>
      <c r="E198" s="43">
        <f t="shared" si="284"/>
        <v>0</v>
      </c>
      <c r="F198" s="43">
        <f t="shared" si="284"/>
        <v>0</v>
      </c>
      <c r="G198" s="43">
        <f t="shared" si="284"/>
        <v>0</v>
      </c>
      <c r="H198" s="43">
        <f t="shared" si="284"/>
        <v>0</v>
      </c>
      <c r="I198" s="43">
        <f t="shared" si="284"/>
        <v>5</v>
      </c>
      <c r="J198" s="43">
        <f t="shared" si="284"/>
        <v>35000</v>
      </c>
      <c r="K198" s="43">
        <f t="shared" si="284"/>
        <v>0</v>
      </c>
      <c r="L198" s="43">
        <f t="shared" si="284"/>
        <v>5</v>
      </c>
      <c r="M198" s="43">
        <f t="shared" si="284"/>
        <v>0</v>
      </c>
      <c r="N198" s="43"/>
      <c r="O198" s="39"/>
      <c r="P198" s="39"/>
      <c r="Q198" s="39"/>
      <c r="R198" s="39"/>
      <c r="S198" s="39"/>
      <c r="T198" s="39"/>
      <c r="U198" s="39"/>
      <c r="V198" s="39"/>
      <c r="W198" s="43">
        <f>W199+W200+W201+W202+W203</f>
        <v>119139</v>
      </c>
      <c r="X198" s="235">
        <f t="shared" ref="X198" si="285">SUM(X199:X203)</f>
        <v>0</v>
      </c>
      <c r="Y198" s="43">
        <f t="shared" ref="Y198:AP198" si="286">Y199+Y200+Y201+Y202+Y203</f>
        <v>118500</v>
      </c>
      <c r="Z198" s="43">
        <f t="shared" si="286"/>
        <v>0</v>
      </c>
      <c r="AA198" s="43">
        <f t="shared" si="286"/>
        <v>89200</v>
      </c>
      <c r="AB198" s="235">
        <f t="shared" si="286"/>
        <v>0</v>
      </c>
      <c r="AC198" s="235">
        <f t="shared" si="286"/>
        <v>108390</v>
      </c>
      <c r="AD198" s="235">
        <f t="shared" si="286"/>
        <v>0</v>
      </c>
      <c r="AE198" s="235">
        <f t="shared" si="286"/>
        <v>0</v>
      </c>
      <c r="AF198" s="235">
        <f t="shared" si="286"/>
        <v>0</v>
      </c>
      <c r="AG198" s="235">
        <f t="shared" si="286"/>
        <v>15039</v>
      </c>
      <c r="AH198" s="235">
        <f t="shared" si="286"/>
        <v>5603.6100000000006</v>
      </c>
      <c r="AI198" s="235">
        <f t="shared" si="286"/>
        <v>22965</v>
      </c>
      <c r="AJ198" s="43">
        <f t="shared" si="286"/>
        <v>22965</v>
      </c>
      <c r="AK198" s="235">
        <f t="shared" si="286"/>
        <v>35500</v>
      </c>
      <c r="AL198" s="43">
        <f t="shared" si="286"/>
        <v>35000</v>
      </c>
      <c r="AM198" s="43">
        <f t="shared" si="286"/>
        <v>0</v>
      </c>
      <c r="AN198" s="43">
        <f t="shared" si="286"/>
        <v>35000</v>
      </c>
      <c r="AO198" s="43">
        <f t="shared" si="286"/>
        <v>0</v>
      </c>
      <c r="AP198" s="43">
        <f t="shared" si="286"/>
        <v>0</v>
      </c>
      <c r="AQ198" s="47"/>
      <c r="AR198" s="48">
        <f t="shared" si="275"/>
        <v>31235</v>
      </c>
      <c r="AS198" s="49" t="e">
        <f>#REF!-AL198</f>
        <v>#REF!</v>
      </c>
    </row>
    <row r="199" spans="2:45" s="50" customFormat="1" ht="52.5" customHeight="1">
      <c r="B199" s="237">
        <f t="shared" si="250"/>
        <v>1</v>
      </c>
      <c r="C199" s="345" t="s">
        <v>937</v>
      </c>
      <c r="D199" s="38">
        <v>1</v>
      </c>
      <c r="E199" s="47"/>
      <c r="F199" s="47"/>
      <c r="G199" s="68"/>
      <c r="H199" s="68"/>
      <c r="I199" s="47">
        <v>1</v>
      </c>
      <c r="J199" s="47">
        <f>I199*AL199</f>
        <v>1500</v>
      </c>
      <c r="K199" s="47"/>
      <c r="L199" s="68">
        <v>1</v>
      </c>
      <c r="M199" s="88"/>
      <c r="N199" s="41" t="s">
        <v>192</v>
      </c>
      <c r="O199" s="41" t="s">
        <v>492</v>
      </c>
      <c r="P199" s="39" t="s">
        <v>360</v>
      </c>
      <c r="Q199" s="41">
        <v>7922687</v>
      </c>
      <c r="R199" s="41"/>
      <c r="S199" s="41" t="s">
        <v>493</v>
      </c>
      <c r="T199" s="105" t="s">
        <v>170</v>
      </c>
      <c r="U199" s="39"/>
      <c r="V199" s="112" t="s">
        <v>498</v>
      </c>
      <c r="W199" s="113">
        <v>7436</v>
      </c>
      <c r="X199" s="250"/>
      <c r="Y199" s="68">
        <v>7400</v>
      </c>
      <c r="Z199" s="235"/>
      <c r="AA199" s="68">
        <v>7400</v>
      </c>
      <c r="AB199" s="235"/>
      <c r="AC199" s="250">
        <v>7400</v>
      </c>
      <c r="AD199" s="235"/>
      <c r="AE199" s="235"/>
      <c r="AF199" s="235"/>
      <c r="AG199" s="213">
        <v>2900</v>
      </c>
      <c r="AH199" s="213">
        <v>1934.059</v>
      </c>
      <c r="AI199" s="213">
        <v>3500</v>
      </c>
      <c r="AJ199" s="47">
        <f t="shared" ref="AJ199:AJ203" si="287">AF199+AI199</f>
        <v>3500</v>
      </c>
      <c r="AK199" s="213">
        <v>1500</v>
      </c>
      <c r="AL199" s="47">
        <f t="shared" si="242"/>
        <v>1500</v>
      </c>
      <c r="AM199" s="43"/>
      <c r="AN199" s="44">
        <v>1500</v>
      </c>
      <c r="AO199" s="43"/>
      <c r="AP199" s="43"/>
      <c r="AQ199" s="47"/>
      <c r="AR199" s="48">
        <f t="shared" si="275"/>
        <v>2400</v>
      </c>
      <c r="AS199" s="49" t="e">
        <f>#REF!-AL199</f>
        <v>#REF!</v>
      </c>
    </row>
    <row r="200" spans="2:45" s="50" customFormat="1" ht="60" customHeight="1">
      <c r="B200" s="237">
        <f t="shared" si="250"/>
        <v>2</v>
      </c>
      <c r="C200" s="345" t="s">
        <v>938</v>
      </c>
      <c r="D200" s="38">
        <v>1</v>
      </c>
      <c r="E200" s="47"/>
      <c r="F200" s="47"/>
      <c r="G200" s="68"/>
      <c r="H200" s="68"/>
      <c r="I200" s="47">
        <v>1</v>
      </c>
      <c r="J200" s="47">
        <f>I200*AL200</f>
        <v>1500</v>
      </c>
      <c r="K200" s="47"/>
      <c r="L200" s="68">
        <v>1</v>
      </c>
      <c r="M200" s="88"/>
      <c r="N200" s="41" t="s">
        <v>192</v>
      </c>
      <c r="O200" s="41" t="s">
        <v>492</v>
      </c>
      <c r="P200" s="39" t="s">
        <v>360</v>
      </c>
      <c r="Q200" s="41">
        <v>7914348</v>
      </c>
      <c r="R200" s="41"/>
      <c r="S200" s="41" t="s">
        <v>494</v>
      </c>
      <c r="T200" s="105" t="s">
        <v>170</v>
      </c>
      <c r="U200" s="39"/>
      <c r="V200" s="112" t="s">
        <v>499</v>
      </c>
      <c r="W200" s="113">
        <v>10316</v>
      </c>
      <c r="X200" s="250"/>
      <c r="Y200" s="68">
        <v>10000</v>
      </c>
      <c r="Z200" s="235"/>
      <c r="AA200" s="68">
        <v>8100</v>
      </c>
      <c r="AB200" s="235"/>
      <c r="AC200" s="250">
        <v>10000</v>
      </c>
      <c r="AD200" s="235"/>
      <c r="AE200" s="235"/>
      <c r="AF200" s="235"/>
      <c r="AG200" s="213">
        <v>2900</v>
      </c>
      <c r="AH200" s="213">
        <v>2900</v>
      </c>
      <c r="AI200" s="213">
        <v>4500</v>
      </c>
      <c r="AJ200" s="47">
        <f t="shared" si="287"/>
        <v>4500</v>
      </c>
      <c r="AK200" s="213">
        <v>2000</v>
      </c>
      <c r="AL200" s="47">
        <f t="shared" si="242"/>
        <v>1500</v>
      </c>
      <c r="AM200" s="43"/>
      <c r="AN200" s="44">
        <v>1500</v>
      </c>
      <c r="AO200" s="43"/>
      <c r="AP200" s="43"/>
      <c r="AQ200" s="47"/>
      <c r="AR200" s="48">
        <f t="shared" si="275"/>
        <v>2100</v>
      </c>
      <c r="AS200" s="49" t="e">
        <f>#REF!-AL200</f>
        <v>#REF!</v>
      </c>
    </row>
    <row r="201" spans="2:45" s="50" customFormat="1" ht="50.45" customHeight="1">
      <c r="B201" s="237">
        <f t="shared" si="250"/>
        <v>3</v>
      </c>
      <c r="C201" s="345" t="s">
        <v>939</v>
      </c>
      <c r="D201" s="38">
        <v>1</v>
      </c>
      <c r="E201" s="47"/>
      <c r="F201" s="47"/>
      <c r="G201" s="68"/>
      <c r="H201" s="68"/>
      <c r="I201" s="47">
        <v>1</v>
      </c>
      <c r="J201" s="47">
        <f>I201*AL201</f>
        <v>13000</v>
      </c>
      <c r="K201" s="47"/>
      <c r="L201" s="68">
        <v>1</v>
      </c>
      <c r="M201" s="88"/>
      <c r="N201" s="41" t="s">
        <v>192</v>
      </c>
      <c r="O201" s="41" t="s">
        <v>492</v>
      </c>
      <c r="P201" s="39" t="s">
        <v>360</v>
      </c>
      <c r="Q201" s="41">
        <v>7876394</v>
      </c>
      <c r="R201" s="41"/>
      <c r="S201" s="41" t="s">
        <v>495</v>
      </c>
      <c r="T201" s="105" t="s">
        <v>170</v>
      </c>
      <c r="U201" s="39"/>
      <c r="V201" s="112" t="s">
        <v>500</v>
      </c>
      <c r="W201" s="113">
        <v>37129</v>
      </c>
      <c r="X201" s="250"/>
      <c r="Y201" s="68">
        <v>37000</v>
      </c>
      <c r="Z201" s="235"/>
      <c r="AA201" s="68">
        <v>24100</v>
      </c>
      <c r="AB201" s="235"/>
      <c r="AC201" s="120">
        <f>Y201*0.9</f>
        <v>33300</v>
      </c>
      <c r="AD201" s="235"/>
      <c r="AE201" s="235"/>
      <c r="AF201" s="235"/>
      <c r="AG201" s="213">
        <v>2900</v>
      </c>
      <c r="AH201" s="213">
        <v>428.08499999999998</v>
      </c>
      <c r="AI201" s="213">
        <v>6076</v>
      </c>
      <c r="AJ201" s="47">
        <f t="shared" si="287"/>
        <v>6076</v>
      </c>
      <c r="AK201" s="120">
        <v>13000</v>
      </c>
      <c r="AL201" s="47">
        <f t="shared" si="242"/>
        <v>13000</v>
      </c>
      <c r="AM201" s="43"/>
      <c r="AN201" s="47">
        <v>13000</v>
      </c>
      <c r="AO201" s="43"/>
      <c r="AP201" s="43"/>
      <c r="AQ201" s="47"/>
      <c r="AR201" s="48">
        <f t="shared" si="275"/>
        <v>5024</v>
      </c>
      <c r="AS201" s="49" t="e">
        <f>#REF!-AL201</f>
        <v>#REF!</v>
      </c>
    </row>
    <row r="202" spans="2:45" s="50" customFormat="1" ht="52.5" customHeight="1">
      <c r="B202" s="237">
        <f t="shared" si="250"/>
        <v>4</v>
      </c>
      <c r="C202" s="345" t="s">
        <v>940</v>
      </c>
      <c r="D202" s="38">
        <v>1</v>
      </c>
      <c r="E202" s="47"/>
      <c r="F202" s="47"/>
      <c r="G202" s="68"/>
      <c r="H202" s="68"/>
      <c r="I202" s="47">
        <v>1</v>
      </c>
      <c r="J202" s="47">
        <f>I202*AL202</f>
        <v>13000</v>
      </c>
      <c r="K202" s="47"/>
      <c r="L202" s="68">
        <v>1</v>
      </c>
      <c r="M202" s="88"/>
      <c r="N202" s="41" t="s">
        <v>192</v>
      </c>
      <c r="O202" s="41" t="s">
        <v>492</v>
      </c>
      <c r="P202" s="39" t="s">
        <v>360</v>
      </c>
      <c r="Q202" s="41">
        <v>7922688</v>
      </c>
      <c r="R202" s="41"/>
      <c r="S202" s="41" t="s">
        <v>496</v>
      </c>
      <c r="T202" s="105" t="s">
        <v>133</v>
      </c>
      <c r="U202" s="39"/>
      <c r="V202" s="112" t="s">
        <v>501</v>
      </c>
      <c r="W202" s="113">
        <v>44992</v>
      </c>
      <c r="X202" s="250"/>
      <c r="Y202" s="68">
        <v>44900</v>
      </c>
      <c r="Z202" s="235"/>
      <c r="AA202" s="68">
        <v>34900</v>
      </c>
      <c r="AB202" s="235"/>
      <c r="AC202" s="120">
        <f>Y202*0.9</f>
        <v>40410</v>
      </c>
      <c r="AD202" s="235"/>
      <c r="AE202" s="235"/>
      <c r="AF202" s="235"/>
      <c r="AG202" s="213">
        <f>2900+1600-1361</f>
        <v>3139</v>
      </c>
      <c r="AH202" s="213"/>
      <c r="AI202" s="213">
        <v>5689</v>
      </c>
      <c r="AJ202" s="47">
        <f t="shared" si="287"/>
        <v>5689</v>
      </c>
      <c r="AK202" s="120">
        <v>13000</v>
      </c>
      <c r="AL202" s="47">
        <f t="shared" si="242"/>
        <v>13000</v>
      </c>
      <c r="AM202" s="43"/>
      <c r="AN202" s="47">
        <v>13000</v>
      </c>
      <c r="AO202" s="43"/>
      <c r="AP202" s="43"/>
      <c r="AQ202" s="47"/>
      <c r="AR202" s="48">
        <f t="shared" si="275"/>
        <v>16211</v>
      </c>
      <c r="AS202" s="49" t="e">
        <f>#REF!-AL202</f>
        <v>#REF!</v>
      </c>
    </row>
    <row r="203" spans="2:45" s="50" customFormat="1" ht="45.6" customHeight="1">
      <c r="B203" s="237">
        <f t="shared" si="250"/>
        <v>5</v>
      </c>
      <c r="C203" s="345" t="s">
        <v>941</v>
      </c>
      <c r="D203" s="38">
        <v>1</v>
      </c>
      <c r="E203" s="47"/>
      <c r="F203" s="47"/>
      <c r="G203" s="68"/>
      <c r="H203" s="68"/>
      <c r="I203" s="47">
        <v>1</v>
      </c>
      <c r="J203" s="47">
        <f>I203*AL203</f>
        <v>6000</v>
      </c>
      <c r="K203" s="47"/>
      <c r="L203" s="68">
        <v>1</v>
      </c>
      <c r="M203" s="88"/>
      <c r="N203" s="41" t="s">
        <v>192</v>
      </c>
      <c r="O203" s="41" t="s">
        <v>492</v>
      </c>
      <c r="P203" s="39" t="s">
        <v>360</v>
      </c>
      <c r="Q203" s="41">
        <v>7876147</v>
      </c>
      <c r="R203" s="41"/>
      <c r="S203" s="41" t="s">
        <v>497</v>
      </c>
      <c r="T203" s="105" t="s">
        <v>170</v>
      </c>
      <c r="U203" s="39"/>
      <c r="V203" s="112" t="s">
        <v>502</v>
      </c>
      <c r="W203" s="113">
        <v>19266</v>
      </c>
      <c r="X203" s="250"/>
      <c r="Y203" s="68">
        <v>19200</v>
      </c>
      <c r="Z203" s="235"/>
      <c r="AA203" s="68">
        <v>14700</v>
      </c>
      <c r="AB203" s="235"/>
      <c r="AC203" s="120">
        <f>Y203*0.9</f>
        <v>17280</v>
      </c>
      <c r="AD203" s="235"/>
      <c r="AE203" s="235"/>
      <c r="AF203" s="235"/>
      <c r="AG203" s="213">
        <v>3200</v>
      </c>
      <c r="AH203" s="213">
        <v>341.46600000000001</v>
      </c>
      <c r="AI203" s="213">
        <v>3200</v>
      </c>
      <c r="AJ203" s="47">
        <f t="shared" si="287"/>
        <v>3200</v>
      </c>
      <c r="AK203" s="213">
        <v>6000</v>
      </c>
      <c r="AL203" s="47">
        <f t="shared" si="242"/>
        <v>6000</v>
      </c>
      <c r="AM203" s="43"/>
      <c r="AN203" s="44">
        <v>6000</v>
      </c>
      <c r="AO203" s="43"/>
      <c r="AP203" s="43"/>
      <c r="AQ203" s="47"/>
      <c r="AR203" s="48">
        <f t="shared" si="275"/>
        <v>5500</v>
      </c>
      <c r="AS203" s="49" t="e">
        <f>#REF!-AL203</f>
        <v>#REF!</v>
      </c>
    </row>
    <row r="204" spans="2:45" s="72" customFormat="1" ht="22.5" customHeight="1">
      <c r="B204" s="36"/>
      <c r="C204" s="346" t="s">
        <v>251</v>
      </c>
      <c r="D204" s="247">
        <f t="shared" ref="D204:J204" si="288">D205+D206+D207</f>
        <v>3</v>
      </c>
      <c r="E204" s="43">
        <f t="shared" si="288"/>
        <v>0</v>
      </c>
      <c r="F204" s="43">
        <f t="shared" si="288"/>
        <v>0</v>
      </c>
      <c r="G204" s="43">
        <f t="shared" si="288"/>
        <v>0</v>
      </c>
      <c r="H204" s="43">
        <f t="shared" si="288"/>
        <v>0</v>
      </c>
      <c r="I204" s="43">
        <f t="shared" si="288"/>
        <v>3</v>
      </c>
      <c r="J204" s="43">
        <f t="shared" si="288"/>
        <v>12000</v>
      </c>
      <c r="K204" s="43">
        <f t="shared" ref="K204:X204" si="289">SUM(K205:K207)</f>
        <v>0</v>
      </c>
      <c r="L204" s="43">
        <f t="shared" si="289"/>
        <v>3</v>
      </c>
      <c r="M204" s="43">
        <f t="shared" si="289"/>
        <v>0</v>
      </c>
      <c r="N204" s="43">
        <f t="shared" si="289"/>
        <v>0</v>
      </c>
      <c r="O204" s="43">
        <f t="shared" si="289"/>
        <v>0</v>
      </c>
      <c r="P204" s="43">
        <f t="shared" si="289"/>
        <v>0</v>
      </c>
      <c r="Q204" s="43"/>
      <c r="R204" s="43">
        <f t="shared" si="289"/>
        <v>0</v>
      </c>
      <c r="S204" s="43">
        <f t="shared" si="289"/>
        <v>0</v>
      </c>
      <c r="T204" s="43">
        <f t="shared" si="289"/>
        <v>0</v>
      </c>
      <c r="U204" s="43">
        <f t="shared" si="289"/>
        <v>0</v>
      </c>
      <c r="V204" s="43">
        <f t="shared" si="289"/>
        <v>0</v>
      </c>
      <c r="W204" s="43">
        <f>W205+W206+W207</f>
        <v>63645</v>
      </c>
      <c r="X204" s="43">
        <f t="shared" si="289"/>
        <v>0</v>
      </c>
      <c r="Y204" s="43">
        <f t="shared" ref="Y204:AP204" si="290">Y205+Y206+Y207</f>
        <v>60300</v>
      </c>
      <c r="Z204" s="43">
        <f t="shared" si="290"/>
        <v>0</v>
      </c>
      <c r="AA204" s="43">
        <f t="shared" si="290"/>
        <v>39250</v>
      </c>
      <c r="AB204" s="235">
        <f t="shared" si="290"/>
        <v>0</v>
      </c>
      <c r="AC204" s="235">
        <f t="shared" si="290"/>
        <v>55600</v>
      </c>
      <c r="AD204" s="235">
        <f t="shared" si="290"/>
        <v>0</v>
      </c>
      <c r="AE204" s="235">
        <f t="shared" si="290"/>
        <v>0</v>
      </c>
      <c r="AF204" s="235">
        <f t="shared" si="290"/>
        <v>0</v>
      </c>
      <c r="AG204" s="235">
        <f t="shared" si="290"/>
        <v>9000</v>
      </c>
      <c r="AH204" s="235">
        <f t="shared" si="290"/>
        <v>3685.9610000000002</v>
      </c>
      <c r="AI204" s="235">
        <f t="shared" si="290"/>
        <v>15371</v>
      </c>
      <c r="AJ204" s="43">
        <f t="shared" si="290"/>
        <v>15371</v>
      </c>
      <c r="AK204" s="235">
        <f t="shared" si="290"/>
        <v>35491</v>
      </c>
      <c r="AL204" s="43">
        <f t="shared" si="290"/>
        <v>12000</v>
      </c>
      <c r="AM204" s="43">
        <f t="shared" si="290"/>
        <v>0</v>
      </c>
      <c r="AN204" s="43">
        <f t="shared" si="290"/>
        <v>12000</v>
      </c>
      <c r="AO204" s="43">
        <f t="shared" si="290"/>
        <v>0</v>
      </c>
      <c r="AP204" s="43">
        <f t="shared" si="290"/>
        <v>0</v>
      </c>
      <c r="AQ204" s="43"/>
      <c r="AR204" s="48">
        <f t="shared" si="275"/>
        <v>11879</v>
      </c>
      <c r="AS204" s="49" t="e">
        <f>#REF!-AL204</f>
        <v>#REF!</v>
      </c>
    </row>
    <row r="205" spans="2:45" s="50" customFormat="1" ht="55.5" customHeight="1">
      <c r="B205" s="237">
        <v>1</v>
      </c>
      <c r="C205" s="345" t="s">
        <v>256</v>
      </c>
      <c r="D205" s="440">
        <v>1</v>
      </c>
      <c r="E205" s="47"/>
      <c r="F205" s="47"/>
      <c r="G205" s="64"/>
      <c r="H205" s="64"/>
      <c r="I205" s="47">
        <v>1</v>
      </c>
      <c r="J205" s="47">
        <f>I205*AL205</f>
        <v>3000</v>
      </c>
      <c r="K205" s="47"/>
      <c r="L205" s="64">
        <v>1</v>
      </c>
      <c r="M205" s="88"/>
      <c r="N205" s="41" t="s">
        <v>213</v>
      </c>
      <c r="O205" s="41" t="s">
        <v>259</v>
      </c>
      <c r="P205" s="39" t="s">
        <v>253</v>
      </c>
      <c r="Q205" s="41">
        <v>7492885</v>
      </c>
      <c r="R205" s="41"/>
      <c r="S205" s="41" t="s">
        <v>262</v>
      </c>
      <c r="T205" s="90" t="s">
        <v>114</v>
      </c>
      <c r="U205" s="90"/>
      <c r="V205" s="90" t="s">
        <v>942</v>
      </c>
      <c r="W205" s="46">
        <v>13326</v>
      </c>
      <c r="X205" s="250"/>
      <c r="Y205" s="46">
        <v>13300</v>
      </c>
      <c r="Z205" s="235"/>
      <c r="AA205" s="46">
        <v>9800</v>
      </c>
      <c r="AB205" s="235"/>
      <c r="AC205" s="217">
        <v>13300</v>
      </c>
      <c r="AD205" s="235"/>
      <c r="AE205" s="235"/>
      <c r="AF205" s="235"/>
      <c r="AG205" s="213">
        <v>2900</v>
      </c>
      <c r="AH205" s="213">
        <v>2900</v>
      </c>
      <c r="AI205" s="428">
        <v>4000</v>
      </c>
      <c r="AJ205" s="47">
        <f t="shared" ref="AJ205:AJ207" si="291">AF205+AI205</f>
        <v>4000</v>
      </c>
      <c r="AK205" s="217">
        <v>9000</v>
      </c>
      <c r="AL205" s="47">
        <f t="shared" ref="AL205:AL207" si="292">AM205+AN205+AO205</f>
        <v>3000</v>
      </c>
      <c r="AM205" s="43"/>
      <c r="AN205" s="46">
        <v>3000</v>
      </c>
      <c r="AO205" s="43"/>
      <c r="AP205" s="43"/>
      <c r="AQ205" s="47"/>
      <c r="AR205" s="48">
        <f t="shared" si="275"/>
        <v>2800</v>
      </c>
      <c r="AS205" s="49" t="e">
        <f>#REF!-AL205</f>
        <v>#REF!</v>
      </c>
    </row>
    <row r="206" spans="2:45" s="50" customFormat="1" ht="55.5" customHeight="1">
      <c r="B206" s="237">
        <v>2</v>
      </c>
      <c r="C206" s="345" t="s">
        <v>257</v>
      </c>
      <c r="D206" s="440">
        <v>1</v>
      </c>
      <c r="E206" s="47"/>
      <c r="F206" s="47"/>
      <c r="G206" s="64"/>
      <c r="H206" s="64"/>
      <c r="I206" s="47">
        <v>1</v>
      </c>
      <c r="J206" s="47">
        <f>I206*AL206</f>
        <v>3000</v>
      </c>
      <c r="K206" s="47"/>
      <c r="L206" s="64">
        <v>1</v>
      </c>
      <c r="M206" s="88"/>
      <c r="N206" s="41" t="s">
        <v>213</v>
      </c>
      <c r="O206" s="41" t="s">
        <v>259</v>
      </c>
      <c r="P206" s="39" t="s">
        <v>253</v>
      </c>
      <c r="Q206" s="41">
        <v>7918525</v>
      </c>
      <c r="R206" s="41"/>
      <c r="S206" s="41" t="s">
        <v>263</v>
      </c>
      <c r="T206" s="90" t="s">
        <v>114</v>
      </c>
      <c r="U206" s="90"/>
      <c r="V206" s="90" t="s">
        <v>943</v>
      </c>
      <c r="W206" s="46">
        <v>15990</v>
      </c>
      <c r="X206" s="250"/>
      <c r="Y206" s="46">
        <v>15900</v>
      </c>
      <c r="Z206" s="235"/>
      <c r="AA206" s="46">
        <v>11000</v>
      </c>
      <c r="AB206" s="235"/>
      <c r="AC206" s="120">
        <f>Y206*0.9</f>
        <v>14310</v>
      </c>
      <c r="AD206" s="235"/>
      <c r="AE206" s="235"/>
      <c r="AF206" s="235"/>
      <c r="AG206" s="213">
        <v>2900</v>
      </c>
      <c r="AH206" s="213">
        <v>328.49200000000002</v>
      </c>
      <c r="AI206" s="428">
        <v>5000</v>
      </c>
      <c r="AJ206" s="47">
        <f t="shared" si="291"/>
        <v>5000</v>
      </c>
      <c r="AK206" s="217">
        <v>11491</v>
      </c>
      <c r="AL206" s="47">
        <f t="shared" si="292"/>
        <v>3000</v>
      </c>
      <c r="AM206" s="43"/>
      <c r="AN206" s="46">
        <v>3000</v>
      </c>
      <c r="AO206" s="43"/>
      <c r="AP206" s="43"/>
      <c r="AQ206" s="47"/>
      <c r="AR206" s="48">
        <f t="shared" si="275"/>
        <v>3000</v>
      </c>
      <c r="AS206" s="49" t="e">
        <f>#REF!-AL206</f>
        <v>#REF!</v>
      </c>
    </row>
    <row r="207" spans="2:45" s="50" customFormat="1" ht="55.5" customHeight="1">
      <c r="B207" s="237">
        <v>3</v>
      </c>
      <c r="C207" s="345" t="s">
        <v>258</v>
      </c>
      <c r="D207" s="440">
        <v>1</v>
      </c>
      <c r="E207" s="47"/>
      <c r="F207" s="47"/>
      <c r="G207" s="64"/>
      <c r="H207" s="64"/>
      <c r="I207" s="47">
        <v>1</v>
      </c>
      <c r="J207" s="47">
        <f>I207*AL207</f>
        <v>6000</v>
      </c>
      <c r="K207" s="47"/>
      <c r="L207" s="64">
        <v>1</v>
      </c>
      <c r="M207" s="88"/>
      <c r="N207" s="41" t="s">
        <v>213</v>
      </c>
      <c r="O207" s="41" t="s">
        <v>259</v>
      </c>
      <c r="P207" s="39" t="s">
        <v>253</v>
      </c>
      <c r="Q207" s="41">
        <v>7918524</v>
      </c>
      <c r="R207" s="41"/>
      <c r="S207" s="41" t="s">
        <v>264</v>
      </c>
      <c r="T207" s="90" t="s">
        <v>114</v>
      </c>
      <c r="U207" s="90"/>
      <c r="V207" s="90" t="s">
        <v>944</v>
      </c>
      <c r="W207" s="46">
        <v>34329</v>
      </c>
      <c r="X207" s="250"/>
      <c r="Y207" s="46">
        <f>34300-3200</f>
        <v>31100</v>
      </c>
      <c r="Z207" s="235"/>
      <c r="AA207" s="46">
        <f>20500*0.9</f>
        <v>18450</v>
      </c>
      <c r="AB207" s="235"/>
      <c r="AC207" s="120">
        <f>Y207*0.9</f>
        <v>27990</v>
      </c>
      <c r="AD207" s="235"/>
      <c r="AE207" s="235"/>
      <c r="AF207" s="235"/>
      <c r="AG207" s="213">
        <v>3200</v>
      </c>
      <c r="AH207" s="213">
        <v>457.46899999999999</v>
      </c>
      <c r="AI207" s="428">
        <v>6371</v>
      </c>
      <c r="AJ207" s="47">
        <f t="shared" si="291"/>
        <v>6371</v>
      </c>
      <c r="AK207" s="217">
        <v>15000</v>
      </c>
      <c r="AL207" s="47">
        <f t="shared" si="292"/>
        <v>6000</v>
      </c>
      <c r="AM207" s="43"/>
      <c r="AN207" s="46">
        <v>6000</v>
      </c>
      <c r="AO207" s="43"/>
      <c r="AP207" s="43"/>
      <c r="AQ207" s="47"/>
      <c r="AR207" s="48">
        <f t="shared" si="275"/>
        <v>6079</v>
      </c>
      <c r="AS207" s="49" t="e">
        <f>#REF!-AL207</f>
        <v>#REF!</v>
      </c>
    </row>
    <row r="208" spans="2:45" s="50" customFormat="1" ht="23.45" customHeight="1">
      <c r="B208" s="89"/>
      <c r="C208" s="346" t="s">
        <v>380</v>
      </c>
      <c r="D208" s="247">
        <f t="shared" ref="D208:J208" si="293">D209+D210+D211+D212</f>
        <v>4</v>
      </c>
      <c r="E208" s="43">
        <f t="shared" si="293"/>
        <v>0</v>
      </c>
      <c r="F208" s="43">
        <f t="shared" si="293"/>
        <v>0</v>
      </c>
      <c r="G208" s="43">
        <f t="shared" si="293"/>
        <v>0</v>
      </c>
      <c r="H208" s="43">
        <f t="shared" si="293"/>
        <v>0</v>
      </c>
      <c r="I208" s="43">
        <f t="shared" si="293"/>
        <v>4</v>
      </c>
      <c r="J208" s="43">
        <f t="shared" si="293"/>
        <v>20000</v>
      </c>
      <c r="K208" s="43">
        <f t="shared" ref="K208:M208" si="294">SUM(K209:K212)</f>
        <v>0</v>
      </c>
      <c r="L208" s="43">
        <f t="shared" si="294"/>
        <v>4</v>
      </c>
      <c r="M208" s="246">
        <f t="shared" si="294"/>
        <v>0</v>
      </c>
      <c r="N208" s="39"/>
      <c r="O208" s="39"/>
      <c r="P208" s="39"/>
      <c r="Q208" s="39"/>
      <c r="R208" s="39"/>
      <c r="S208" s="39"/>
      <c r="T208" s="39"/>
      <c r="U208" s="39"/>
      <c r="V208" s="39"/>
      <c r="W208" s="43">
        <f>W209+W210+W211+W212</f>
        <v>109365</v>
      </c>
      <c r="X208" s="235">
        <f t="shared" ref="X208" si="295">SUM(X209:X212)</f>
        <v>0</v>
      </c>
      <c r="Y208" s="43">
        <f t="shared" ref="Y208:AP208" si="296">Y209+Y210+Y211+Y212</f>
        <v>109300</v>
      </c>
      <c r="Z208" s="43">
        <f t="shared" si="296"/>
        <v>0</v>
      </c>
      <c r="AA208" s="43">
        <f t="shared" si="296"/>
        <v>69200</v>
      </c>
      <c r="AB208" s="235">
        <f t="shared" si="296"/>
        <v>0</v>
      </c>
      <c r="AC208" s="235">
        <f t="shared" si="296"/>
        <v>98370</v>
      </c>
      <c r="AD208" s="235">
        <f t="shared" si="296"/>
        <v>0</v>
      </c>
      <c r="AE208" s="235">
        <f t="shared" si="296"/>
        <v>0</v>
      </c>
      <c r="AF208" s="235">
        <f t="shared" si="296"/>
        <v>0</v>
      </c>
      <c r="AG208" s="235">
        <f t="shared" si="296"/>
        <v>36000</v>
      </c>
      <c r="AH208" s="235">
        <f t="shared" si="296"/>
        <v>8751.5619999999999</v>
      </c>
      <c r="AI208" s="235">
        <f t="shared" si="296"/>
        <v>36000</v>
      </c>
      <c r="AJ208" s="43">
        <f t="shared" si="296"/>
        <v>36000</v>
      </c>
      <c r="AK208" s="235">
        <f t="shared" si="296"/>
        <v>46600</v>
      </c>
      <c r="AL208" s="43">
        <f t="shared" si="296"/>
        <v>20000</v>
      </c>
      <c r="AM208" s="43">
        <f t="shared" si="296"/>
        <v>0</v>
      </c>
      <c r="AN208" s="43">
        <f t="shared" si="296"/>
        <v>20000</v>
      </c>
      <c r="AO208" s="43">
        <f t="shared" si="296"/>
        <v>0</v>
      </c>
      <c r="AP208" s="43">
        <f t="shared" si="296"/>
        <v>0</v>
      </c>
      <c r="AQ208" s="47"/>
      <c r="AR208" s="48">
        <f t="shared" si="275"/>
        <v>13200</v>
      </c>
      <c r="AS208" s="49" t="e">
        <f>#REF!-AL208</f>
        <v>#REF!</v>
      </c>
    </row>
    <row r="209" spans="1:45" s="50" customFormat="1" ht="45">
      <c r="B209" s="237">
        <v>1</v>
      </c>
      <c r="C209" s="102" t="s">
        <v>387</v>
      </c>
      <c r="D209" s="145">
        <v>1</v>
      </c>
      <c r="E209" s="47"/>
      <c r="F209" s="47"/>
      <c r="G209" s="251"/>
      <c r="H209" s="251"/>
      <c r="I209" s="47">
        <v>1</v>
      </c>
      <c r="J209" s="47">
        <f>I209*AL209</f>
        <v>4000</v>
      </c>
      <c r="K209" s="47"/>
      <c r="L209" s="251">
        <v>1</v>
      </c>
      <c r="M209" s="88"/>
      <c r="N209" s="41" t="s">
        <v>382</v>
      </c>
      <c r="O209" s="41" t="s">
        <v>391</v>
      </c>
      <c r="P209" s="39" t="s">
        <v>392</v>
      </c>
      <c r="Q209" s="41">
        <v>7941109</v>
      </c>
      <c r="R209" s="41"/>
      <c r="S209" s="41" t="s">
        <v>393</v>
      </c>
      <c r="T209" s="90" t="s">
        <v>114</v>
      </c>
      <c r="U209" s="78"/>
      <c r="V209" s="39" t="s">
        <v>397</v>
      </c>
      <c r="W209" s="62">
        <v>23502</v>
      </c>
      <c r="X209" s="250"/>
      <c r="Y209" s="62">
        <v>23500</v>
      </c>
      <c r="Z209" s="235"/>
      <c r="AA209" s="62">
        <v>15300</v>
      </c>
      <c r="AB209" s="235"/>
      <c r="AC209" s="265">
        <f>Y209*0.9</f>
        <v>21150</v>
      </c>
      <c r="AD209" s="235"/>
      <c r="AE209" s="235"/>
      <c r="AF209" s="250"/>
      <c r="AG209" s="429">
        <v>8000</v>
      </c>
      <c r="AH209" s="213">
        <v>803.77300000000002</v>
      </c>
      <c r="AI209" s="429">
        <v>8000</v>
      </c>
      <c r="AJ209" s="47">
        <f t="shared" ref="AJ209:AJ212" si="297">AF209+AI209</f>
        <v>8000</v>
      </c>
      <c r="AK209" s="120">
        <v>9600</v>
      </c>
      <c r="AL209" s="47">
        <f t="shared" ref="AL209:AL212" si="298">AM209+AN209+AO209</f>
        <v>4000</v>
      </c>
      <c r="AM209" s="43"/>
      <c r="AN209" s="47">
        <v>4000</v>
      </c>
      <c r="AO209" s="43"/>
      <c r="AP209" s="43"/>
      <c r="AQ209" s="47"/>
      <c r="AR209" s="48">
        <f t="shared" si="275"/>
        <v>3300</v>
      </c>
      <c r="AS209" s="49" t="e">
        <f>#REF!-AL209</f>
        <v>#REF!</v>
      </c>
    </row>
    <row r="210" spans="1:45" s="50" customFormat="1" ht="74.45" customHeight="1">
      <c r="B210" s="237">
        <f>B209+1</f>
        <v>2</v>
      </c>
      <c r="C210" s="102" t="s">
        <v>388</v>
      </c>
      <c r="D210" s="145">
        <v>1</v>
      </c>
      <c r="E210" s="47"/>
      <c r="F210" s="47"/>
      <c r="G210" s="251"/>
      <c r="H210" s="251"/>
      <c r="I210" s="47">
        <v>1</v>
      </c>
      <c r="J210" s="47">
        <f>I210*AL210</f>
        <v>4000</v>
      </c>
      <c r="K210" s="47"/>
      <c r="L210" s="251">
        <v>1</v>
      </c>
      <c r="M210" s="88"/>
      <c r="N210" s="41" t="s">
        <v>382</v>
      </c>
      <c r="O210" s="41" t="s">
        <v>391</v>
      </c>
      <c r="P210" s="39" t="s">
        <v>392</v>
      </c>
      <c r="Q210" s="41">
        <v>7879286</v>
      </c>
      <c r="R210" s="41"/>
      <c r="S210" s="41" t="s">
        <v>394</v>
      </c>
      <c r="T210" s="90" t="s">
        <v>114</v>
      </c>
      <c r="U210" s="78"/>
      <c r="V210" s="39" t="s">
        <v>398</v>
      </c>
      <c r="W210" s="62">
        <v>21309</v>
      </c>
      <c r="X210" s="250"/>
      <c r="Y210" s="62">
        <v>21300</v>
      </c>
      <c r="Z210" s="235"/>
      <c r="AA210" s="62">
        <v>15300</v>
      </c>
      <c r="AB210" s="235"/>
      <c r="AC210" s="265">
        <f t="shared" ref="AC210:AC212" si="299">Y210*0.9</f>
        <v>19170</v>
      </c>
      <c r="AD210" s="235"/>
      <c r="AE210" s="235"/>
      <c r="AF210" s="250"/>
      <c r="AG210" s="429">
        <v>8000</v>
      </c>
      <c r="AH210" s="213">
        <v>5926.9320000000007</v>
      </c>
      <c r="AI210" s="429">
        <v>8000</v>
      </c>
      <c r="AJ210" s="47">
        <f t="shared" si="297"/>
        <v>8000</v>
      </c>
      <c r="AK210" s="120">
        <v>9000</v>
      </c>
      <c r="AL210" s="47">
        <f t="shared" si="298"/>
        <v>4000</v>
      </c>
      <c r="AM210" s="43"/>
      <c r="AN210" s="47">
        <v>4000</v>
      </c>
      <c r="AO210" s="43"/>
      <c r="AP210" s="43"/>
      <c r="AQ210" s="47"/>
      <c r="AR210" s="48">
        <f t="shared" si="275"/>
        <v>3300</v>
      </c>
      <c r="AS210" s="49" t="e">
        <f>#REF!-AL210</f>
        <v>#REF!</v>
      </c>
    </row>
    <row r="211" spans="1:45" s="50" customFormat="1" ht="63.6" customHeight="1">
      <c r="B211" s="237">
        <f t="shared" ref="B211:B212" si="300">B210+1</f>
        <v>3</v>
      </c>
      <c r="C211" s="102" t="s">
        <v>389</v>
      </c>
      <c r="D211" s="145">
        <v>1</v>
      </c>
      <c r="E211" s="47"/>
      <c r="F211" s="47"/>
      <c r="G211" s="251"/>
      <c r="H211" s="251"/>
      <c r="I211" s="47">
        <v>1</v>
      </c>
      <c r="J211" s="47">
        <f>I211*AL211</f>
        <v>6000</v>
      </c>
      <c r="K211" s="47"/>
      <c r="L211" s="251">
        <v>1</v>
      </c>
      <c r="M211" s="88"/>
      <c r="N211" s="41" t="s">
        <v>382</v>
      </c>
      <c r="O211" s="41" t="s">
        <v>391</v>
      </c>
      <c r="P211" s="39" t="s">
        <v>392</v>
      </c>
      <c r="Q211" s="41">
        <v>7879290</v>
      </c>
      <c r="R211" s="41"/>
      <c r="S211" s="41" t="s">
        <v>395</v>
      </c>
      <c r="T211" s="90" t="s">
        <v>114</v>
      </c>
      <c r="U211" s="78"/>
      <c r="V211" s="39" t="s">
        <v>399</v>
      </c>
      <c r="W211" s="62">
        <v>26327</v>
      </c>
      <c r="X211" s="250"/>
      <c r="Y211" s="62">
        <v>26300</v>
      </c>
      <c r="Z211" s="235"/>
      <c r="AA211" s="62">
        <v>20600</v>
      </c>
      <c r="AB211" s="235"/>
      <c r="AC211" s="265">
        <f t="shared" si="299"/>
        <v>23670</v>
      </c>
      <c r="AD211" s="235"/>
      <c r="AE211" s="235"/>
      <c r="AF211" s="250"/>
      <c r="AG211" s="429">
        <v>10000</v>
      </c>
      <c r="AH211" s="213">
        <v>893.48099999999999</v>
      </c>
      <c r="AI211" s="429">
        <v>10000</v>
      </c>
      <c r="AJ211" s="47">
        <f t="shared" si="297"/>
        <v>10000</v>
      </c>
      <c r="AK211" s="120">
        <v>11000</v>
      </c>
      <c r="AL211" s="47">
        <f t="shared" si="298"/>
        <v>6000</v>
      </c>
      <c r="AM211" s="43"/>
      <c r="AN211" s="60">
        <v>6000</v>
      </c>
      <c r="AO211" s="43"/>
      <c r="AP211" s="43"/>
      <c r="AQ211" s="47"/>
      <c r="AR211" s="48">
        <f t="shared" si="275"/>
        <v>4600</v>
      </c>
      <c r="AS211" s="49" t="e">
        <f>#REF!-AL211</f>
        <v>#REF!</v>
      </c>
    </row>
    <row r="212" spans="1:45" s="50" customFormat="1" ht="63" customHeight="1">
      <c r="B212" s="237">
        <f t="shared" si="300"/>
        <v>4</v>
      </c>
      <c r="C212" s="102" t="s">
        <v>390</v>
      </c>
      <c r="D212" s="145">
        <v>1</v>
      </c>
      <c r="E212" s="47"/>
      <c r="F212" s="47"/>
      <c r="G212" s="251"/>
      <c r="H212" s="251"/>
      <c r="I212" s="47">
        <v>1</v>
      </c>
      <c r="J212" s="47">
        <f>I212*AL212</f>
        <v>6000</v>
      </c>
      <c r="K212" s="47"/>
      <c r="L212" s="251">
        <v>1</v>
      </c>
      <c r="M212" s="88"/>
      <c r="N212" s="41" t="s">
        <v>382</v>
      </c>
      <c r="O212" s="41" t="s">
        <v>391</v>
      </c>
      <c r="P212" s="39" t="s">
        <v>392</v>
      </c>
      <c r="Q212" s="41">
        <v>7879289</v>
      </c>
      <c r="R212" s="41"/>
      <c r="S212" s="41" t="s">
        <v>396</v>
      </c>
      <c r="T212" s="90" t="s">
        <v>114</v>
      </c>
      <c r="U212" s="78"/>
      <c r="V212" s="39" t="s">
        <v>400</v>
      </c>
      <c r="W212" s="62">
        <v>38227</v>
      </c>
      <c r="X212" s="250"/>
      <c r="Y212" s="62">
        <v>38200</v>
      </c>
      <c r="Z212" s="235"/>
      <c r="AA212" s="62">
        <v>18000</v>
      </c>
      <c r="AB212" s="235"/>
      <c r="AC212" s="265">
        <f t="shared" si="299"/>
        <v>34380</v>
      </c>
      <c r="AD212" s="235"/>
      <c r="AE212" s="235"/>
      <c r="AF212" s="250"/>
      <c r="AG212" s="429">
        <v>10000</v>
      </c>
      <c r="AH212" s="213">
        <v>1127.376</v>
      </c>
      <c r="AI212" s="429">
        <v>10000</v>
      </c>
      <c r="AJ212" s="47">
        <f t="shared" si="297"/>
        <v>10000</v>
      </c>
      <c r="AK212" s="120">
        <v>17000</v>
      </c>
      <c r="AL212" s="47">
        <f t="shared" si="298"/>
        <v>6000</v>
      </c>
      <c r="AM212" s="43"/>
      <c r="AN212" s="60">
        <v>6000</v>
      </c>
      <c r="AO212" s="43"/>
      <c r="AP212" s="43"/>
      <c r="AQ212" s="47"/>
      <c r="AR212" s="48">
        <f t="shared" si="275"/>
        <v>2000</v>
      </c>
      <c r="AS212" s="49" t="e">
        <f>#REF!-AL212</f>
        <v>#REF!</v>
      </c>
    </row>
    <row r="213" spans="1:45" s="50" customFormat="1">
      <c r="B213" s="89"/>
      <c r="C213" s="346" t="s">
        <v>448</v>
      </c>
      <c r="D213" s="247">
        <f t="shared" ref="D213:J213" si="301">D214+D215</f>
        <v>2</v>
      </c>
      <c r="E213" s="43">
        <f t="shared" si="301"/>
        <v>0</v>
      </c>
      <c r="F213" s="43">
        <f t="shared" si="301"/>
        <v>0</v>
      </c>
      <c r="G213" s="43">
        <f t="shared" si="301"/>
        <v>0</v>
      </c>
      <c r="H213" s="43">
        <f t="shared" si="301"/>
        <v>0</v>
      </c>
      <c r="I213" s="43">
        <f t="shared" si="301"/>
        <v>2</v>
      </c>
      <c r="J213" s="43">
        <f t="shared" si="301"/>
        <v>11000</v>
      </c>
      <c r="K213" s="43">
        <f>SUM(K214:K215)</f>
        <v>0</v>
      </c>
      <c r="L213" s="43">
        <f>SUM(L214:L215)</f>
        <v>2</v>
      </c>
      <c r="M213" s="246">
        <f>SUM(M214:M215)</f>
        <v>0</v>
      </c>
      <c r="N213" s="39"/>
      <c r="O213" s="39"/>
      <c r="P213" s="39"/>
      <c r="Q213" s="39"/>
      <c r="R213" s="39"/>
      <c r="S213" s="39"/>
      <c r="T213" s="39"/>
      <c r="U213" s="39"/>
      <c r="V213" s="39"/>
      <c r="W213" s="43">
        <f>W214+W215</f>
        <v>52109</v>
      </c>
      <c r="X213" s="43">
        <f t="shared" ref="X213" si="302">SUM(X214:X215)</f>
        <v>0</v>
      </c>
      <c r="Y213" s="43">
        <f t="shared" ref="Y213:AP213" si="303">Y214+Y215</f>
        <v>39900</v>
      </c>
      <c r="Z213" s="43">
        <f t="shared" si="303"/>
        <v>0</v>
      </c>
      <c r="AA213" s="43">
        <f t="shared" si="303"/>
        <v>30900</v>
      </c>
      <c r="AB213" s="235">
        <f t="shared" si="303"/>
        <v>0</v>
      </c>
      <c r="AC213" s="235">
        <f t="shared" si="303"/>
        <v>37400</v>
      </c>
      <c r="AD213" s="235">
        <f t="shared" si="303"/>
        <v>0</v>
      </c>
      <c r="AE213" s="235">
        <f t="shared" si="303"/>
        <v>0</v>
      </c>
      <c r="AF213" s="235">
        <f t="shared" si="303"/>
        <v>0</v>
      </c>
      <c r="AG213" s="235">
        <f t="shared" si="303"/>
        <v>9000</v>
      </c>
      <c r="AH213" s="235">
        <f t="shared" si="303"/>
        <v>4064.703</v>
      </c>
      <c r="AI213" s="235">
        <f t="shared" si="303"/>
        <v>12500</v>
      </c>
      <c r="AJ213" s="43">
        <f t="shared" si="303"/>
        <v>12500</v>
      </c>
      <c r="AK213" s="235">
        <f t="shared" si="303"/>
        <v>21000</v>
      </c>
      <c r="AL213" s="43">
        <f t="shared" si="303"/>
        <v>11000</v>
      </c>
      <c r="AM213" s="43">
        <f t="shared" si="303"/>
        <v>0</v>
      </c>
      <c r="AN213" s="43">
        <f t="shared" si="303"/>
        <v>11000</v>
      </c>
      <c r="AO213" s="43">
        <f t="shared" si="303"/>
        <v>0</v>
      </c>
      <c r="AP213" s="43">
        <f t="shared" si="303"/>
        <v>0</v>
      </c>
      <c r="AQ213" s="47"/>
      <c r="AR213" s="48">
        <f t="shared" si="275"/>
        <v>7400</v>
      </c>
      <c r="AS213" s="49" t="e">
        <f>#REF!-AL213</f>
        <v>#REF!</v>
      </c>
    </row>
    <row r="214" spans="1:45" s="50" customFormat="1" ht="47.45" customHeight="1">
      <c r="B214" s="237">
        <v>1</v>
      </c>
      <c r="C214" s="345" t="s">
        <v>945</v>
      </c>
      <c r="D214" s="441">
        <v>1</v>
      </c>
      <c r="E214" s="47"/>
      <c r="F214" s="47"/>
      <c r="G214" s="386"/>
      <c r="H214" s="386"/>
      <c r="I214" s="47">
        <v>1</v>
      </c>
      <c r="J214" s="47">
        <f>I214*AL214</f>
        <v>4000</v>
      </c>
      <c r="K214" s="47"/>
      <c r="L214" s="386">
        <v>1</v>
      </c>
      <c r="M214" s="88"/>
      <c r="N214" s="41" t="s">
        <v>111</v>
      </c>
      <c r="O214" s="41" t="s">
        <v>109</v>
      </c>
      <c r="P214" s="39" t="s">
        <v>446</v>
      </c>
      <c r="Q214" s="41">
        <v>7910545</v>
      </c>
      <c r="R214" s="41"/>
      <c r="S214" s="41"/>
      <c r="T214" s="90" t="s">
        <v>116</v>
      </c>
      <c r="U214" s="39"/>
      <c r="V214" s="39" t="s">
        <v>449</v>
      </c>
      <c r="W214" s="65">
        <v>14943</v>
      </c>
      <c r="X214" s="250"/>
      <c r="Y214" s="65">
        <v>14900</v>
      </c>
      <c r="Z214" s="235"/>
      <c r="AA214" s="65">
        <v>12600</v>
      </c>
      <c r="AB214" s="235"/>
      <c r="AC214" s="221">
        <v>14900</v>
      </c>
      <c r="AD214" s="235"/>
      <c r="AE214" s="235"/>
      <c r="AF214" s="235"/>
      <c r="AG214" s="213">
        <v>3700</v>
      </c>
      <c r="AH214" s="213">
        <v>3700</v>
      </c>
      <c r="AI214" s="422">
        <v>3700</v>
      </c>
      <c r="AJ214" s="47">
        <f t="shared" ref="AJ214:AJ215" si="304">AF214+AI214</f>
        <v>3700</v>
      </c>
      <c r="AK214" s="241">
        <v>2000</v>
      </c>
      <c r="AL214" s="47">
        <f t="shared" ref="AL214:AL215" si="305">AM214+AN214+AO214</f>
        <v>4000</v>
      </c>
      <c r="AM214" s="43"/>
      <c r="AN214" s="61">
        <v>4000</v>
      </c>
      <c r="AO214" s="43"/>
      <c r="AP214" s="43"/>
      <c r="AQ214" s="47"/>
      <c r="AR214" s="48">
        <f t="shared" si="275"/>
        <v>4900</v>
      </c>
      <c r="AS214" s="49" t="e">
        <f>#REF!-AL214</f>
        <v>#REF!</v>
      </c>
    </row>
    <row r="215" spans="1:45" s="50" customFormat="1" ht="47.45" customHeight="1">
      <c r="B215" s="237">
        <v>2</v>
      </c>
      <c r="C215" s="345" t="s">
        <v>946</v>
      </c>
      <c r="D215" s="441">
        <v>1</v>
      </c>
      <c r="E215" s="47"/>
      <c r="F215" s="47"/>
      <c r="G215" s="386"/>
      <c r="H215" s="386"/>
      <c r="I215" s="47">
        <v>1</v>
      </c>
      <c r="J215" s="47">
        <f>I215*AL215</f>
        <v>7000</v>
      </c>
      <c r="K215" s="47"/>
      <c r="L215" s="386">
        <v>1</v>
      </c>
      <c r="M215" s="88"/>
      <c r="N215" s="41" t="s">
        <v>111</v>
      </c>
      <c r="O215" s="41" t="s">
        <v>109</v>
      </c>
      <c r="P215" s="39" t="s">
        <v>446</v>
      </c>
      <c r="Q215" s="41">
        <v>7913210</v>
      </c>
      <c r="R215" s="41"/>
      <c r="S215" s="41"/>
      <c r="T215" s="90" t="s">
        <v>116</v>
      </c>
      <c r="U215" s="39"/>
      <c r="V215" s="39" t="s">
        <v>452</v>
      </c>
      <c r="W215" s="65">
        <v>37166</v>
      </c>
      <c r="X215" s="250"/>
      <c r="Y215" s="65">
        <v>25000</v>
      </c>
      <c r="Z215" s="235"/>
      <c r="AA215" s="65">
        <v>18300</v>
      </c>
      <c r="AB215" s="235"/>
      <c r="AC215" s="265">
        <f t="shared" ref="AC215" si="306">Y215*0.9</f>
        <v>22500</v>
      </c>
      <c r="AD215" s="235"/>
      <c r="AE215" s="235"/>
      <c r="AF215" s="235"/>
      <c r="AG215" s="213">
        <f>3700+1600</f>
        <v>5300</v>
      </c>
      <c r="AH215" s="221">
        <v>364.70299999999997</v>
      </c>
      <c r="AI215" s="422">
        <v>8800</v>
      </c>
      <c r="AJ215" s="47">
        <f t="shared" si="304"/>
        <v>8800</v>
      </c>
      <c r="AK215" s="241">
        <v>19000</v>
      </c>
      <c r="AL215" s="47">
        <f t="shared" si="305"/>
        <v>7000</v>
      </c>
      <c r="AM215" s="43"/>
      <c r="AN215" s="61">
        <v>7000</v>
      </c>
      <c r="AO215" s="43"/>
      <c r="AP215" s="43"/>
      <c r="AQ215" s="47"/>
      <c r="AR215" s="48">
        <f t="shared" si="275"/>
        <v>2500</v>
      </c>
      <c r="AS215" s="49" t="e">
        <f>#REF!-AL215</f>
        <v>#REF!</v>
      </c>
    </row>
    <row r="216" spans="1:45" s="50" customFormat="1" ht="14.45" customHeight="1">
      <c r="B216" s="89"/>
      <c r="C216" s="345"/>
      <c r="D216" s="247"/>
      <c r="E216" s="47"/>
      <c r="F216" s="47"/>
      <c r="G216" s="47"/>
      <c r="H216" s="47"/>
      <c r="I216" s="47"/>
      <c r="J216" s="47"/>
      <c r="K216" s="47"/>
      <c r="L216" s="47"/>
      <c r="M216" s="88"/>
      <c r="N216" s="39"/>
      <c r="O216" s="39"/>
      <c r="P216" s="39"/>
      <c r="Q216" s="39"/>
      <c r="R216" s="39"/>
      <c r="S216" s="39"/>
      <c r="T216" s="39"/>
      <c r="U216" s="39"/>
      <c r="V216" s="39"/>
      <c r="W216" s="47"/>
      <c r="X216" s="120"/>
      <c r="Y216" s="47"/>
      <c r="Z216" s="235"/>
      <c r="AA216" s="47"/>
      <c r="AB216" s="235"/>
      <c r="AC216" s="120"/>
      <c r="AD216" s="235"/>
      <c r="AE216" s="235"/>
      <c r="AF216" s="235"/>
      <c r="AG216" s="235"/>
      <c r="AH216" s="235"/>
      <c r="AI216" s="235"/>
      <c r="AJ216" s="43"/>
      <c r="AK216" s="235"/>
      <c r="AL216" s="47"/>
      <c r="AM216" s="43"/>
      <c r="AN216" s="47"/>
      <c r="AO216" s="43"/>
      <c r="AP216" s="43"/>
      <c r="AQ216" s="47"/>
      <c r="AR216" s="48">
        <f t="shared" si="275"/>
        <v>0</v>
      </c>
      <c r="AS216" s="49" t="e">
        <f>#REF!-AL216</f>
        <v>#REF!</v>
      </c>
    </row>
    <row r="217" spans="1:45" s="72" customFormat="1" ht="36.6" customHeight="1">
      <c r="B217" s="36" t="s">
        <v>52</v>
      </c>
      <c r="C217" s="346" t="s">
        <v>175</v>
      </c>
      <c r="D217" s="247">
        <f t="shared" ref="D217:M217" si="307">D218+D221</f>
        <v>7</v>
      </c>
      <c r="E217" s="43">
        <f t="shared" si="307"/>
        <v>0</v>
      </c>
      <c r="F217" s="43">
        <f t="shared" si="307"/>
        <v>0</v>
      </c>
      <c r="G217" s="43">
        <f t="shared" si="307"/>
        <v>7</v>
      </c>
      <c r="H217" s="43">
        <f t="shared" si="307"/>
        <v>183800</v>
      </c>
      <c r="I217" s="43">
        <f t="shared" si="307"/>
        <v>0</v>
      </c>
      <c r="J217" s="43">
        <f t="shared" si="307"/>
        <v>0</v>
      </c>
      <c r="K217" s="43">
        <f t="shared" si="307"/>
        <v>0</v>
      </c>
      <c r="L217" s="43">
        <f t="shared" si="307"/>
        <v>7</v>
      </c>
      <c r="M217" s="43">
        <f t="shared" si="307"/>
        <v>0</v>
      </c>
      <c r="N217" s="43"/>
      <c r="O217" s="43"/>
      <c r="P217" s="43"/>
      <c r="Q217" s="43"/>
      <c r="R217" s="43">
        <f t="shared" ref="R217:AJ217" si="308">R218+R221</f>
        <v>0</v>
      </c>
      <c r="S217" s="43"/>
      <c r="T217" s="43"/>
      <c r="U217" s="43"/>
      <c r="V217" s="43"/>
      <c r="W217" s="43">
        <f t="shared" si="308"/>
        <v>351569</v>
      </c>
      <c r="X217" s="43">
        <f t="shared" si="308"/>
        <v>0</v>
      </c>
      <c r="Y217" s="43">
        <f t="shared" si="308"/>
        <v>325900</v>
      </c>
      <c r="Z217" s="43">
        <f t="shared" si="308"/>
        <v>800</v>
      </c>
      <c r="AA217" s="43">
        <f t="shared" si="308"/>
        <v>325900</v>
      </c>
      <c r="AB217" s="235">
        <f t="shared" si="308"/>
        <v>0</v>
      </c>
      <c r="AC217" s="235">
        <f t="shared" si="308"/>
        <v>219900</v>
      </c>
      <c r="AD217" s="235">
        <f t="shared" si="308"/>
        <v>0</v>
      </c>
      <c r="AE217" s="235">
        <f t="shared" si="308"/>
        <v>0</v>
      </c>
      <c r="AF217" s="235">
        <f t="shared" si="308"/>
        <v>34982.807999999997</v>
      </c>
      <c r="AG217" s="235">
        <f t="shared" si="308"/>
        <v>60000</v>
      </c>
      <c r="AH217" s="235">
        <f t="shared" si="308"/>
        <v>29152.014999999999</v>
      </c>
      <c r="AI217" s="235">
        <f t="shared" si="308"/>
        <v>103927</v>
      </c>
      <c r="AJ217" s="43">
        <f t="shared" si="308"/>
        <v>138909.80800000002</v>
      </c>
      <c r="AK217" s="235">
        <f t="shared" ref="AK217:AP217" si="309">AK218+AK221</f>
        <v>183800</v>
      </c>
      <c r="AL217" s="43">
        <f t="shared" si="309"/>
        <v>183800</v>
      </c>
      <c r="AM217" s="43">
        <f t="shared" si="309"/>
        <v>0</v>
      </c>
      <c r="AN217" s="43">
        <f t="shared" si="309"/>
        <v>183800</v>
      </c>
      <c r="AO217" s="43">
        <f t="shared" si="309"/>
        <v>0</v>
      </c>
      <c r="AP217" s="43">
        <f t="shared" si="309"/>
        <v>0</v>
      </c>
      <c r="AQ217" s="43"/>
      <c r="AR217" s="48">
        <f t="shared" si="275"/>
        <v>3190.1920000000391</v>
      </c>
      <c r="AS217" s="49" t="e">
        <f>#REF!-AL217</f>
        <v>#REF!</v>
      </c>
    </row>
    <row r="218" spans="1:45" s="133" customFormat="1" ht="20.45" customHeight="1">
      <c r="B218" s="129" t="s">
        <v>188</v>
      </c>
      <c r="C218" s="352" t="s">
        <v>107</v>
      </c>
      <c r="D218" s="439">
        <f t="shared" ref="D218:M218" si="310">D219+D220</f>
        <v>2</v>
      </c>
      <c r="E218" s="69">
        <f t="shared" si="310"/>
        <v>0</v>
      </c>
      <c r="F218" s="69">
        <f t="shared" si="310"/>
        <v>0</v>
      </c>
      <c r="G218" s="69">
        <f t="shared" si="310"/>
        <v>2</v>
      </c>
      <c r="H218" s="69">
        <f t="shared" si="310"/>
        <v>69100</v>
      </c>
      <c r="I218" s="69">
        <f t="shared" si="310"/>
        <v>0</v>
      </c>
      <c r="J218" s="69">
        <f t="shared" si="310"/>
        <v>0</v>
      </c>
      <c r="K218" s="69">
        <f t="shared" si="310"/>
        <v>0</v>
      </c>
      <c r="L218" s="69">
        <f t="shared" si="310"/>
        <v>2</v>
      </c>
      <c r="M218" s="69">
        <f t="shared" si="310"/>
        <v>0</v>
      </c>
      <c r="N218" s="69"/>
      <c r="O218" s="69"/>
      <c r="P218" s="69"/>
      <c r="Q218" s="69"/>
      <c r="R218" s="69">
        <f t="shared" ref="R218:AJ218" si="311">R219+R220</f>
        <v>0</v>
      </c>
      <c r="S218" s="69"/>
      <c r="T218" s="69"/>
      <c r="U218" s="69"/>
      <c r="V218" s="69"/>
      <c r="W218" s="69">
        <f t="shared" si="311"/>
        <v>178369</v>
      </c>
      <c r="X218" s="69">
        <f t="shared" si="311"/>
        <v>0</v>
      </c>
      <c r="Y218" s="69">
        <f t="shared" si="311"/>
        <v>160500</v>
      </c>
      <c r="Z218" s="69">
        <f t="shared" si="311"/>
        <v>800</v>
      </c>
      <c r="AA218" s="69">
        <f t="shared" si="311"/>
        <v>160500</v>
      </c>
      <c r="AB218" s="236">
        <f t="shared" si="311"/>
        <v>0</v>
      </c>
      <c r="AC218" s="236">
        <f t="shared" si="311"/>
        <v>160500</v>
      </c>
      <c r="AD218" s="236">
        <f t="shared" si="311"/>
        <v>0</v>
      </c>
      <c r="AE218" s="236">
        <f t="shared" si="311"/>
        <v>0</v>
      </c>
      <c r="AF218" s="236">
        <f t="shared" si="311"/>
        <v>28686</v>
      </c>
      <c r="AG218" s="236">
        <f t="shared" si="311"/>
        <v>40000</v>
      </c>
      <c r="AH218" s="236">
        <f t="shared" si="311"/>
        <v>25293.415000000001</v>
      </c>
      <c r="AI218" s="236">
        <f t="shared" si="311"/>
        <v>62024</v>
      </c>
      <c r="AJ218" s="69">
        <f t="shared" si="311"/>
        <v>90710</v>
      </c>
      <c r="AK218" s="236">
        <f t="shared" ref="AK218:AP218" si="312">AK219+AK220</f>
        <v>69100</v>
      </c>
      <c r="AL218" s="69">
        <f t="shared" si="312"/>
        <v>69100</v>
      </c>
      <c r="AM218" s="69">
        <f t="shared" si="312"/>
        <v>0</v>
      </c>
      <c r="AN218" s="69">
        <f t="shared" si="312"/>
        <v>69100</v>
      </c>
      <c r="AO218" s="69">
        <f t="shared" si="312"/>
        <v>0</v>
      </c>
      <c r="AP218" s="69">
        <f t="shared" si="312"/>
        <v>0</v>
      </c>
      <c r="AQ218" s="130"/>
      <c r="AR218" s="131">
        <f t="shared" si="275"/>
        <v>690</v>
      </c>
      <c r="AS218" s="132" t="e">
        <f>#REF!-AL218</f>
        <v>#REF!</v>
      </c>
    </row>
    <row r="219" spans="1:45" s="50" customFormat="1" ht="75">
      <c r="A219" s="50" t="s">
        <v>749</v>
      </c>
      <c r="B219" s="252">
        <v>1</v>
      </c>
      <c r="C219" s="312" t="s">
        <v>182</v>
      </c>
      <c r="D219" s="93">
        <v>1</v>
      </c>
      <c r="E219" s="47"/>
      <c r="F219" s="47"/>
      <c r="G219" s="47">
        <v>1</v>
      </c>
      <c r="H219" s="47">
        <f>G219*AL219</f>
        <v>14100</v>
      </c>
      <c r="I219" s="47"/>
      <c r="J219" s="47"/>
      <c r="K219" s="47"/>
      <c r="L219" s="47">
        <v>1</v>
      </c>
      <c r="M219" s="88"/>
      <c r="N219" s="40" t="s">
        <v>136</v>
      </c>
      <c r="O219" s="39" t="s">
        <v>109</v>
      </c>
      <c r="P219" s="41" t="s">
        <v>183</v>
      </c>
      <c r="Q219" s="39">
        <v>7805914</v>
      </c>
      <c r="R219" s="40"/>
      <c r="S219" s="41" t="s">
        <v>184</v>
      </c>
      <c r="T219" s="39" t="s">
        <v>170</v>
      </c>
      <c r="U219" s="41"/>
      <c r="V219" s="41" t="s">
        <v>977</v>
      </c>
      <c r="W219" s="68">
        <v>68056</v>
      </c>
      <c r="X219" s="120"/>
      <c r="Y219" s="68">
        <v>61200</v>
      </c>
      <c r="Z219" s="235"/>
      <c r="AA219" s="68">
        <f>AB219+AC219+AD219+AE219</f>
        <v>61200</v>
      </c>
      <c r="AB219" s="235"/>
      <c r="AC219" s="250">
        <v>61200</v>
      </c>
      <c r="AD219" s="235"/>
      <c r="AE219" s="235"/>
      <c r="AF219" s="221">
        <v>27100</v>
      </c>
      <c r="AG219" s="250">
        <v>20000</v>
      </c>
      <c r="AH219" s="221">
        <v>5293.415</v>
      </c>
      <c r="AI219" s="250">
        <v>20000</v>
      </c>
      <c r="AJ219" s="47">
        <f>AF219+AI219</f>
        <v>47100</v>
      </c>
      <c r="AK219" s="120">
        <v>14100</v>
      </c>
      <c r="AL219" s="47">
        <f t="shared" ref="AL219:AL226" si="313">AM219+AN219+AO219</f>
        <v>14100</v>
      </c>
      <c r="AM219" s="43"/>
      <c r="AN219" s="47">
        <v>14100</v>
      </c>
      <c r="AO219" s="43"/>
      <c r="AP219" s="43"/>
      <c r="AQ219" s="153"/>
      <c r="AR219" s="48">
        <f t="shared" si="275"/>
        <v>0</v>
      </c>
      <c r="AS219" s="49" t="e">
        <f>#REF!-AL219</f>
        <v>#REF!</v>
      </c>
    </row>
    <row r="220" spans="1:45" s="50" customFormat="1" ht="75">
      <c r="A220" s="50" t="s">
        <v>749</v>
      </c>
      <c r="B220" s="252">
        <v>2</v>
      </c>
      <c r="C220" s="312" t="s">
        <v>673</v>
      </c>
      <c r="D220" s="93">
        <v>1</v>
      </c>
      <c r="E220" s="47"/>
      <c r="F220" s="47"/>
      <c r="G220" s="47">
        <v>1</v>
      </c>
      <c r="H220" s="47">
        <f>G220*AL220</f>
        <v>55000</v>
      </c>
      <c r="I220" s="47"/>
      <c r="J220" s="47"/>
      <c r="K220" s="47"/>
      <c r="L220" s="47">
        <v>1</v>
      </c>
      <c r="M220" s="88"/>
      <c r="N220" s="40" t="s">
        <v>111</v>
      </c>
      <c r="O220" s="39" t="s">
        <v>109</v>
      </c>
      <c r="P220" s="41" t="s">
        <v>183</v>
      </c>
      <c r="Q220" s="39">
        <v>7788506</v>
      </c>
      <c r="R220" s="40"/>
      <c r="S220" s="39"/>
      <c r="T220" s="39" t="s">
        <v>170</v>
      </c>
      <c r="U220" s="39"/>
      <c r="V220" s="39" t="s">
        <v>674</v>
      </c>
      <c r="W220" s="68">
        <v>110313</v>
      </c>
      <c r="X220" s="120"/>
      <c r="Y220" s="68">
        <v>99300</v>
      </c>
      <c r="Z220" s="120">
        <v>800</v>
      </c>
      <c r="AA220" s="68">
        <f>AB220+AC220+AD220+AE220</f>
        <v>99300</v>
      </c>
      <c r="AB220" s="235"/>
      <c r="AC220" s="250">
        <v>99300</v>
      </c>
      <c r="AD220" s="235"/>
      <c r="AE220" s="235"/>
      <c r="AF220" s="213">
        <v>1586</v>
      </c>
      <c r="AG220" s="250">
        <v>20000</v>
      </c>
      <c r="AH220" s="221">
        <v>20000</v>
      </c>
      <c r="AI220" s="250">
        <v>42024</v>
      </c>
      <c r="AJ220" s="47">
        <f>AF220+AI220</f>
        <v>43610</v>
      </c>
      <c r="AK220" s="120">
        <v>55000</v>
      </c>
      <c r="AL220" s="47">
        <f t="shared" si="313"/>
        <v>55000</v>
      </c>
      <c r="AM220" s="43"/>
      <c r="AN220" s="47">
        <v>55000</v>
      </c>
      <c r="AO220" s="43"/>
      <c r="AP220" s="43"/>
      <c r="AQ220" s="47"/>
      <c r="AR220" s="48">
        <f t="shared" si="275"/>
        <v>690</v>
      </c>
      <c r="AS220" s="49" t="e">
        <f>#REF!-AL220</f>
        <v>#REF!</v>
      </c>
    </row>
    <row r="221" spans="1:45" s="133" customFormat="1">
      <c r="B221" s="129" t="s">
        <v>548</v>
      </c>
      <c r="C221" s="352" t="s">
        <v>119</v>
      </c>
      <c r="D221" s="442">
        <f t="shared" ref="D221:M221" si="314">D222+D223+D224+D225+D226</f>
        <v>5</v>
      </c>
      <c r="E221" s="253">
        <f t="shared" si="314"/>
        <v>0</v>
      </c>
      <c r="F221" s="253">
        <f t="shared" si="314"/>
        <v>0</v>
      </c>
      <c r="G221" s="253">
        <f t="shared" si="314"/>
        <v>5</v>
      </c>
      <c r="H221" s="253">
        <f t="shared" si="314"/>
        <v>114700</v>
      </c>
      <c r="I221" s="253">
        <f t="shared" si="314"/>
        <v>0</v>
      </c>
      <c r="J221" s="253">
        <f t="shared" si="314"/>
        <v>0</v>
      </c>
      <c r="K221" s="253">
        <f t="shared" si="314"/>
        <v>0</v>
      </c>
      <c r="L221" s="253">
        <f t="shared" si="314"/>
        <v>5</v>
      </c>
      <c r="M221" s="253">
        <f t="shared" si="314"/>
        <v>0</v>
      </c>
      <c r="N221" s="254"/>
      <c r="O221" s="122"/>
      <c r="P221" s="255"/>
      <c r="Q221" s="122"/>
      <c r="R221" s="254"/>
      <c r="S221" s="122"/>
      <c r="T221" s="122"/>
      <c r="U221" s="122"/>
      <c r="V221" s="122"/>
      <c r="W221" s="253">
        <f>W222+W223+W224+W225+W226</f>
        <v>173200</v>
      </c>
      <c r="X221" s="256"/>
      <c r="Y221" s="253">
        <f t="shared" ref="Y221:AP221" si="315">Y222+Y223+Y224+Y225+Y226</f>
        <v>165400</v>
      </c>
      <c r="Z221" s="257">
        <f t="shared" si="315"/>
        <v>0</v>
      </c>
      <c r="AA221" s="253">
        <f t="shared" si="315"/>
        <v>165400</v>
      </c>
      <c r="AB221" s="257">
        <f t="shared" si="315"/>
        <v>0</v>
      </c>
      <c r="AC221" s="257">
        <f t="shared" si="315"/>
        <v>59400</v>
      </c>
      <c r="AD221" s="257">
        <f t="shared" si="315"/>
        <v>0</v>
      </c>
      <c r="AE221" s="257">
        <f t="shared" si="315"/>
        <v>0</v>
      </c>
      <c r="AF221" s="257">
        <f t="shared" si="315"/>
        <v>6296.808</v>
      </c>
      <c r="AG221" s="257">
        <f t="shared" si="315"/>
        <v>20000</v>
      </c>
      <c r="AH221" s="257">
        <f t="shared" si="315"/>
        <v>3858.6</v>
      </c>
      <c r="AI221" s="257">
        <f t="shared" si="315"/>
        <v>41903</v>
      </c>
      <c r="AJ221" s="253">
        <f t="shared" si="315"/>
        <v>48199.808000000005</v>
      </c>
      <c r="AK221" s="257">
        <f t="shared" si="315"/>
        <v>114700</v>
      </c>
      <c r="AL221" s="253">
        <f t="shared" si="315"/>
        <v>114700</v>
      </c>
      <c r="AM221" s="253">
        <f t="shared" si="315"/>
        <v>0</v>
      </c>
      <c r="AN221" s="253">
        <f t="shared" si="315"/>
        <v>114700</v>
      </c>
      <c r="AO221" s="253">
        <f t="shared" si="315"/>
        <v>0</v>
      </c>
      <c r="AP221" s="253">
        <f t="shared" si="315"/>
        <v>0</v>
      </c>
      <c r="AQ221" s="130"/>
      <c r="AR221" s="131"/>
      <c r="AS221" s="132"/>
    </row>
    <row r="222" spans="1:45" s="50" customFormat="1" ht="62.1" customHeight="1">
      <c r="A222" s="50" t="s">
        <v>749</v>
      </c>
      <c r="B222" s="252">
        <v>1</v>
      </c>
      <c r="C222" s="345" t="s">
        <v>675</v>
      </c>
      <c r="D222" s="93">
        <v>1</v>
      </c>
      <c r="E222" s="47"/>
      <c r="F222" s="47"/>
      <c r="G222" s="47">
        <v>1</v>
      </c>
      <c r="H222" s="47">
        <f>G222*AL222</f>
        <v>14500</v>
      </c>
      <c r="I222" s="47"/>
      <c r="J222" s="47"/>
      <c r="K222" s="47"/>
      <c r="L222" s="47">
        <v>1</v>
      </c>
      <c r="M222" s="88"/>
      <c r="N222" s="41" t="s">
        <v>204</v>
      </c>
      <c r="O222" s="39" t="s">
        <v>109</v>
      </c>
      <c r="P222" s="39" t="s">
        <v>33</v>
      </c>
      <c r="Q222" s="41">
        <v>7884502</v>
      </c>
      <c r="R222" s="41"/>
      <c r="S222" s="41" t="s">
        <v>205</v>
      </c>
      <c r="T222" s="41" t="s">
        <v>114</v>
      </c>
      <c r="U222" s="39"/>
      <c r="V222" s="39" t="s">
        <v>206</v>
      </c>
      <c r="W222" s="68">
        <v>33699</v>
      </c>
      <c r="X222" s="120"/>
      <c r="Y222" s="68">
        <v>30300</v>
      </c>
      <c r="Z222" s="235"/>
      <c r="AA222" s="68">
        <f t="shared" ref="AA222:AA223" si="316">AB222+AC222+AD222+AE222</f>
        <v>30300</v>
      </c>
      <c r="AB222" s="235"/>
      <c r="AC222" s="217">
        <v>30300</v>
      </c>
      <c r="AD222" s="235"/>
      <c r="AE222" s="235"/>
      <c r="AF222" s="250">
        <v>131.00399999999999</v>
      </c>
      <c r="AG222" s="250">
        <v>10000</v>
      </c>
      <c r="AH222" s="213">
        <v>3858.6</v>
      </c>
      <c r="AI222" s="120">
        <v>14869</v>
      </c>
      <c r="AJ222" s="47">
        <f>AF222+AI222</f>
        <v>15000.004000000001</v>
      </c>
      <c r="AK222" s="217">
        <v>14500</v>
      </c>
      <c r="AL222" s="47">
        <f t="shared" si="313"/>
        <v>14500</v>
      </c>
      <c r="AM222" s="43"/>
      <c r="AN222" s="46">
        <v>14500</v>
      </c>
      <c r="AO222" s="43"/>
      <c r="AP222" s="43"/>
      <c r="AQ222" s="41"/>
      <c r="AR222" s="48">
        <f>AA222-(AF222+AI222+AL222)</f>
        <v>799.99599999999919</v>
      </c>
      <c r="AS222" s="49" t="e">
        <f>#REF!-AL222</f>
        <v>#REF!</v>
      </c>
    </row>
    <row r="223" spans="1:45" s="50" customFormat="1" ht="60">
      <c r="A223" s="50" t="s">
        <v>749</v>
      </c>
      <c r="B223" s="252">
        <v>2</v>
      </c>
      <c r="C223" s="345" t="s">
        <v>676</v>
      </c>
      <c r="D223" s="93">
        <v>1</v>
      </c>
      <c r="E223" s="47"/>
      <c r="F223" s="47"/>
      <c r="G223" s="47">
        <v>1</v>
      </c>
      <c r="H223" s="47">
        <f>G223*AL223</f>
        <v>13000</v>
      </c>
      <c r="I223" s="47"/>
      <c r="J223" s="47"/>
      <c r="K223" s="47"/>
      <c r="L223" s="47">
        <v>1</v>
      </c>
      <c r="M223" s="88"/>
      <c r="N223" s="39" t="s">
        <v>207</v>
      </c>
      <c r="O223" s="39" t="s">
        <v>109</v>
      </c>
      <c r="P223" s="39" t="s">
        <v>33</v>
      </c>
      <c r="Q223" s="39">
        <v>7880194</v>
      </c>
      <c r="R223" s="39"/>
      <c r="S223" s="90" t="s">
        <v>208</v>
      </c>
      <c r="T223" s="90" t="s">
        <v>114</v>
      </c>
      <c r="U223" s="39"/>
      <c r="V223" s="109" t="s">
        <v>678</v>
      </c>
      <c r="W223" s="46">
        <v>32420</v>
      </c>
      <c r="X223" s="120"/>
      <c r="Y223" s="46">
        <v>29100</v>
      </c>
      <c r="Z223" s="235"/>
      <c r="AA223" s="68">
        <f t="shared" si="316"/>
        <v>29100</v>
      </c>
      <c r="AB223" s="235"/>
      <c r="AC223" s="217">
        <v>29100</v>
      </c>
      <c r="AD223" s="235"/>
      <c r="AE223" s="235"/>
      <c r="AF223" s="250">
        <v>6165.8040000000001</v>
      </c>
      <c r="AG223" s="250">
        <v>10000</v>
      </c>
      <c r="AH223" s="235"/>
      <c r="AI223" s="120">
        <v>8234</v>
      </c>
      <c r="AJ223" s="47">
        <f>AF223+AI223</f>
        <v>14399.804</v>
      </c>
      <c r="AK223" s="120">
        <v>13000</v>
      </c>
      <c r="AL223" s="47">
        <f t="shared" si="313"/>
        <v>13000</v>
      </c>
      <c r="AM223" s="47"/>
      <c r="AN223" s="47">
        <v>13000</v>
      </c>
      <c r="AO223" s="43"/>
      <c r="AP223" s="43"/>
      <c r="AQ223" s="41"/>
      <c r="AR223" s="48">
        <f>AA223-(AF223+AI223+AL223)</f>
        <v>1700.1959999999999</v>
      </c>
      <c r="AS223" s="49" t="e">
        <f>#REF!-AL223</f>
        <v>#REF!</v>
      </c>
    </row>
    <row r="224" spans="1:45" s="50" customFormat="1" ht="64.5" customHeight="1">
      <c r="A224" s="50" t="s">
        <v>749</v>
      </c>
      <c r="B224" s="252">
        <v>3</v>
      </c>
      <c r="C224" s="345" t="s">
        <v>742</v>
      </c>
      <c r="D224" s="93">
        <v>1</v>
      </c>
      <c r="E224" s="47"/>
      <c r="F224" s="47"/>
      <c r="G224" s="47">
        <v>1</v>
      </c>
      <c r="H224" s="47">
        <f>G224*AL224</f>
        <v>25500</v>
      </c>
      <c r="I224" s="47"/>
      <c r="J224" s="47"/>
      <c r="K224" s="47"/>
      <c r="L224" s="47">
        <v>1</v>
      </c>
      <c r="M224" s="88"/>
      <c r="N224" s="39" t="s">
        <v>225</v>
      </c>
      <c r="O224" s="39" t="s">
        <v>109</v>
      </c>
      <c r="P224" s="39" t="s">
        <v>214</v>
      </c>
      <c r="Q224" s="39">
        <v>7934683</v>
      </c>
      <c r="R224" s="39"/>
      <c r="S224" s="90"/>
      <c r="T224" s="90" t="s">
        <v>114</v>
      </c>
      <c r="U224" s="39"/>
      <c r="V224" s="109" t="s">
        <v>745</v>
      </c>
      <c r="W224" s="46">
        <v>31223</v>
      </c>
      <c r="X224" s="120"/>
      <c r="Y224" s="46">
        <v>31000</v>
      </c>
      <c r="Z224" s="235"/>
      <c r="AA224" s="68">
        <v>31000</v>
      </c>
      <c r="AB224" s="235"/>
      <c r="AC224" s="217"/>
      <c r="AD224" s="235"/>
      <c r="AE224" s="235"/>
      <c r="AF224" s="250"/>
      <c r="AG224" s="250"/>
      <c r="AH224" s="235"/>
      <c r="AI224" s="120">
        <v>5500</v>
      </c>
      <c r="AJ224" s="47">
        <f>AF224+AI224</f>
        <v>5500</v>
      </c>
      <c r="AK224" s="120">
        <v>25500</v>
      </c>
      <c r="AL224" s="47">
        <f t="shared" si="313"/>
        <v>25500</v>
      </c>
      <c r="AM224" s="47"/>
      <c r="AN224" s="47">
        <v>25500</v>
      </c>
      <c r="AO224" s="43"/>
      <c r="AP224" s="43"/>
      <c r="AQ224" s="41"/>
      <c r="AR224" s="48"/>
      <c r="AS224" s="49"/>
    </row>
    <row r="225" spans="1:45" s="50" customFormat="1" ht="48.95" customHeight="1">
      <c r="A225" s="50" t="s">
        <v>749</v>
      </c>
      <c r="B225" s="252">
        <v>4</v>
      </c>
      <c r="C225" s="345" t="s">
        <v>743</v>
      </c>
      <c r="D225" s="93">
        <v>1</v>
      </c>
      <c r="E225" s="47"/>
      <c r="F225" s="47"/>
      <c r="G225" s="47">
        <v>1</v>
      </c>
      <c r="H225" s="47">
        <f>G225*AL225</f>
        <v>30000</v>
      </c>
      <c r="I225" s="47"/>
      <c r="J225" s="47"/>
      <c r="K225" s="47"/>
      <c r="L225" s="47">
        <v>1</v>
      </c>
      <c r="M225" s="88"/>
      <c r="N225" s="39" t="s">
        <v>225</v>
      </c>
      <c r="O225" s="39" t="s">
        <v>109</v>
      </c>
      <c r="P225" s="39" t="s">
        <v>214</v>
      </c>
      <c r="Q225" s="39">
        <v>7934682</v>
      </c>
      <c r="R225" s="39"/>
      <c r="S225" s="90"/>
      <c r="T225" s="90" t="s">
        <v>114</v>
      </c>
      <c r="U225" s="39"/>
      <c r="V225" s="109" t="s">
        <v>746</v>
      </c>
      <c r="W225" s="46">
        <v>36964</v>
      </c>
      <c r="X225" s="120"/>
      <c r="Y225" s="46">
        <v>36500</v>
      </c>
      <c r="Z225" s="235"/>
      <c r="AA225" s="68">
        <v>36500</v>
      </c>
      <c r="AB225" s="235"/>
      <c r="AC225" s="217"/>
      <c r="AD225" s="235"/>
      <c r="AE225" s="235"/>
      <c r="AF225" s="250"/>
      <c r="AG225" s="250"/>
      <c r="AH225" s="235"/>
      <c r="AI225" s="120">
        <v>6500</v>
      </c>
      <c r="AJ225" s="47">
        <f>AF225+AI225</f>
        <v>6500</v>
      </c>
      <c r="AK225" s="120">
        <v>30000</v>
      </c>
      <c r="AL225" s="47">
        <f t="shared" si="313"/>
        <v>30000</v>
      </c>
      <c r="AM225" s="47"/>
      <c r="AN225" s="47">
        <v>30000</v>
      </c>
      <c r="AO225" s="43"/>
      <c r="AP225" s="43"/>
      <c r="AQ225" s="41"/>
      <c r="AR225" s="48"/>
      <c r="AS225" s="49"/>
    </row>
    <row r="226" spans="1:45" s="50" customFormat="1" ht="50.45" customHeight="1">
      <c r="A226" s="50" t="s">
        <v>749</v>
      </c>
      <c r="B226" s="252">
        <v>5</v>
      </c>
      <c r="C226" s="345" t="s">
        <v>744</v>
      </c>
      <c r="D226" s="93">
        <v>1</v>
      </c>
      <c r="E226" s="47"/>
      <c r="F226" s="47"/>
      <c r="G226" s="47">
        <v>1</v>
      </c>
      <c r="H226" s="47">
        <f>G226*AL226</f>
        <v>31700</v>
      </c>
      <c r="I226" s="47"/>
      <c r="J226" s="47"/>
      <c r="K226" s="47"/>
      <c r="L226" s="47">
        <v>1</v>
      </c>
      <c r="M226" s="88"/>
      <c r="N226" s="39" t="s">
        <v>225</v>
      </c>
      <c r="O226" s="39" t="s">
        <v>109</v>
      </c>
      <c r="P226" s="39" t="s">
        <v>214</v>
      </c>
      <c r="Q226" s="39">
        <v>7934684</v>
      </c>
      <c r="R226" s="39"/>
      <c r="S226" s="90"/>
      <c r="T226" s="90" t="s">
        <v>114</v>
      </c>
      <c r="U226" s="39"/>
      <c r="V226" s="109" t="s">
        <v>747</v>
      </c>
      <c r="W226" s="46">
        <v>38894</v>
      </c>
      <c r="X226" s="120"/>
      <c r="Y226" s="46">
        <v>38500</v>
      </c>
      <c r="Z226" s="235"/>
      <c r="AA226" s="68">
        <v>38500</v>
      </c>
      <c r="AB226" s="235"/>
      <c r="AC226" s="217"/>
      <c r="AD226" s="235"/>
      <c r="AE226" s="235"/>
      <c r="AF226" s="250"/>
      <c r="AG226" s="250"/>
      <c r="AH226" s="235"/>
      <c r="AI226" s="120">
        <v>6800</v>
      </c>
      <c r="AJ226" s="47">
        <f>AF226+AI226</f>
        <v>6800</v>
      </c>
      <c r="AK226" s="120">
        <v>31700</v>
      </c>
      <c r="AL226" s="47">
        <f t="shared" si="313"/>
        <v>31700</v>
      </c>
      <c r="AM226" s="47"/>
      <c r="AN226" s="47">
        <v>31700</v>
      </c>
      <c r="AO226" s="43"/>
      <c r="AP226" s="43"/>
      <c r="AQ226" s="41"/>
      <c r="AR226" s="48"/>
      <c r="AS226" s="49"/>
    </row>
    <row r="227" spans="1:45" s="50" customFormat="1" ht="36.6" customHeight="1">
      <c r="B227" s="36" t="s">
        <v>104</v>
      </c>
      <c r="C227" s="346" t="s">
        <v>174</v>
      </c>
      <c r="D227" s="247">
        <f t="shared" ref="D227:M228" si="317">D228</f>
        <v>1</v>
      </c>
      <c r="E227" s="43">
        <f t="shared" si="317"/>
        <v>0</v>
      </c>
      <c r="F227" s="43">
        <f t="shared" si="317"/>
        <v>0</v>
      </c>
      <c r="G227" s="43">
        <f t="shared" si="317"/>
        <v>0</v>
      </c>
      <c r="H227" s="43">
        <f t="shared" si="317"/>
        <v>0</v>
      </c>
      <c r="I227" s="43">
        <f t="shared" si="317"/>
        <v>1</v>
      </c>
      <c r="J227" s="43">
        <f t="shared" si="317"/>
        <v>14200</v>
      </c>
      <c r="K227" s="43">
        <f t="shared" si="317"/>
        <v>0</v>
      </c>
      <c r="L227" s="43">
        <f t="shared" si="317"/>
        <v>1</v>
      </c>
      <c r="M227" s="43">
        <f t="shared" si="317"/>
        <v>0</v>
      </c>
      <c r="N227" s="39"/>
      <c r="O227" s="39"/>
      <c r="P227" s="39"/>
      <c r="Q227" s="39"/>
      <c r="R227" s="39"/>
      <c r="S227" s="39"/>
      <c r="T227" s="39"/>
      <c r="U227" s="39"/>
      <c r="V227" s="39"/>
      <c r="W227" s="43">
        <f t="shared" ref="W227:W228" si="318">W228</f>
        <v>63867</v>
      </c>
      <c r="X227" s="235">
        <f t="shared" ref="X227:X228" si="319">X228</f>
        <v>0</v>
      </c>
      <c r="Y227" s="43">
        <f t="shared" ref="Y227:Y228" si="320">Y228</f>
        <v>57480</v>
      </c>
      <c r="Z227" s="235">
        <f t="shared" ref="Z227:Z228" si="321">Z228</f>
        <v>0</v>
      </c>
      <c r="AA227" s="43">
        <f t="shared" ref="AA227:AA228" si="322">AA228</f>
        <v>57480</v>
      </c>
      <c r="AB227" s="235">
        <f t="shared" ref="AB227:AB228" si="323">AB228</f>
        <v>0</v>
      </c>
      <c r="AC227" s="235">
        <f t="shared" ref="AC227:AC228" si="324">AC228</f>
        <v>57480</v>
      </c>
      <c r="AD227" s="235">
        <f t="shared" ref="AD227:AD228" si="325">AD228</f>
        <v>0</v>
      </c>
      <c r="AE227" s="235">
        <f t="shared" ref="AE227:AE228" si="326">AE228</f>
        <v>0</v>
      </c>
      <c r="AF227" s="235">
        <f t="shared" ref="AF227:AF228" si="327">AF228</f>
        <v>0</v>
      </c>
      <c r="AG227" s="235">
        <f t="shared" ref="AG227:AG228" si="328">AG228</f>
        <v>19000</v>
      </c>
      <c r="AH227" s="235">
        <f t="shared" ref="AH227:AH228" si="329">AH228</f>
        <v>0</v>
      </c>
      <c r="AI227" s="235">
        <f t="shared" ref="AI227:AJ228" si="330">AI228</f>
        <v>5700</v>
      </c>
      <c r="AJ227" s="43">
        <f t="shared" si="330"/>
        <v>5700</v>
      </c>
      <c r="AK227" s="235">
        <f t="shared" ref="AK227:AK228" si="331">AK228</f>
        <v>14200</v>
      </c>
      <c r="AL227" s="43">
        <f t="shared" ref="AL227:AL228" si="332">AL228</f>
        <v>14200</v>
      </c>
      <c r="AM227" s="43">
        <f t="shared" ref="AM227:AM228" si="333">AM228</f>
        <v>0</v>
      </c>
      <c r="AN227" s="43">
        <f t="shared" ref="AN227:AN228" si="334">AN228</f>
        <v>14200</v>
      </c>
      <c r="AO227" s="43">
        <f t="shared" ref="AO227:AO228" si="335">AO228</f>
        <v>0</v>
      </c>
      <c r="AP227" s="43">
        <f t="shared" ref="AP227:AP228" si="336">AP228</f>
        <v>0</v>
      </c>
      <c r="AQ227" s="47"/>
      <c r="AR227" s="48">
        <f t="shared" ref="AR227:AR237" si="337">AA227-(AF227+AI227+AL227)</f>
        <v>37580</v>
      </c>
      <c r="AS227" s="49" t="e">
        <f>#REF!-AL227</f>
        <v>#REF!</v>
      </c>
    </row>
    <row r="228" spans="1:45" s="133" customFormat="1" ht="21" customHeight="1">
      <c r="B228" s="129" t="s">
        <v>201</v>
      </c>
      <c r="C228" s="352" t="s">
        <v>107</v>
      </c>
      <c r="D228" s="439">
        <f t="shared" si="317"/>
        <v>1</v>
      </c>
      <c r="E228" s="69">
        <f t="shared" si="317"/>
        <v>0</v>
      </c>
      <c r="F228" s="69">
        <f t="shared" si="317"/>
        <v>0</v>
      </c>
      <c r="G228" s="69">
        <f t="shared" si="317"/>
        <v>0</v>
      </c>
      <c r="H228" s="69">
        <f t="shared" si="317"/>
        <v>0</v>
      </c>
      <c r="I228" s="69">
        <f t="shared" si="317"/>
        <v>1</v>
      </c>
      <c r="J228" s="69">
        <f t="shared" si="317"/>
        <v>14200</v>
      </c>
      <c r="K228" s="69">
        <f t="shared" si="317"/>
        <v>0</v>
      </c>
      <c r="L228" s="69">
        <f t="shared" si="317"/>
        <v>1</v>
      </c>
      <c r="M228" s="69">
        <f t="shared" si="317"/>
        <v>0</v>
      </c>
      <c r="N228" s="122"/>
      <c r="O228" s="122"/>
      <c r="P228" s="122"/>
      <c r="Q228" s="122"/>
      <c r="R228" s="122"/>
      <c r="S228" s="122"/>
      <c r="T228" s="122"/>
      <c r="U228" s="122"/>
      <c r="V228" s="122"/>
      <c r="W228" s="69">
        <f t="shared" si="318"/>
        <v>63867</v>
      </c>
      <c r="X228" s="236">
        <f t="shared" si="319"/>
        <v>0</v>
      </c>
      <c r="Y228" s="69">
        <f t="shared" si="320"/>
        <v>57480</v>
      </c>
      <c r="Z228" s="236">
        <f t="shared" si="321"/>
        <v>0</v>
      </c>
      <c r="AA228" s="69">
        <f t="shared" si="322"/>
        <v>57480</v>
      </c>
      <c r="AB228" s="236">
        <f t="shared" si="323"/>
        <v>0</v>
      </c>
      <c r="AC228" s="236">
        <f t="shared" si="324"/>
        <v>57480</v>
      </c>
      <c r="AD228" s="236">
        <f t="shared" si="325"/>
        <v>0</v>
      </c>
      <c r="AE228" s="236">
        <f t="shared" si="326"/>
        <v>0</v>
      </c>
      <c r="AF228" s="236">
        <f t="shared" si="327"/>
        <v>0</v>
      </c>
      <c r="AG228" s="236">
        <f t="shared" si="328"/>
        <v>19000</v>
      </c>
      <c r="AH228" s="236">
        <f t="shared" si="329"/>
        <v>0</v>
      </c>
      <c r="AI228" s="236">
        <f t="shared" si="330"/>
        <v>5700</v>
      </c>
      <c r="AJ228" s="69">
        <f t="shared" si="330"/>
        <v>5700</v>
      </c>
      <c r="AK228" s="236">
        <f t="shared" si="331"/>
        <v>14200</v>
      </c>
      <c r="AL228" s="69">
        <f t="shared" si="332"/>
        <v>14200</v>
      </c>
      <c r="AM228" s="69">
        <f t="shared" si="333"/>
        <v>0</v>
      </c>
      <c r="AN228" s="69">
        <f t="shared" si="334"/>
        <v>14200</v>
      </c>
      <c r="AO228" s="69">
        <f t="shared" si="335"/>
        <v>0</v>
      </c>
      <c r="AP228" s="69">
        <f t="shared" si="336"/>
        <v>0</v>
      </c>
      <c r="AQ228" s="130"/>
      <c r="AR228" s="131">
        <f t="shared" si="337"/>
        <v>37580</v>
      </c>
      <c r="AS228" s="132" t="e">
        <f>#REF!-AL228</f>
        <v>#REF!</v>
      </c>
    </row>
    <row r="229" spans="1:45" s="50" customFormat="1" ht="50.1" customHeight="1">
      <c r="A229" s="50" t="s">
        <v>749</v>
      </c>
      <c r="B229" s="89">
        <v>1</v>
      </c>
      <c r="C229" s="345" t="s">
        <v>680</v>
      </c>
      <c r="D229" s="93">
        <v>1</v>
      </c>
      <c r="E229" s="47"/>
      <c r="F229" s="47"/>
      <c r="G229" s="47"/>
      <c r="H229" s="47"/>
      <c r="I229" s="47">
        <v>1</v>
      </c>
      <c r="J229" s="47">
        <f>I229*AL229</f>
        <v>14200</v>
      </c>
      <c r="K229" s="47"/>
      <c r="L229" s="47">
        <v>1</v>
      </c>
      <c r="M229" s="88"/>
      <c r="N229" s="41" t="s">
        <v>204</v>
      </c>
      <c r="O229" s="39" t="s">
        <v>109</v>
      </c>
      <c r="P229" s="39" t="s">
        <v>33</v>
      </c>
      <c r="Q229" s="41">
        <v>7889862</v>
      </c>
      <c r="R229" s="41"/>
      <c r="S229" s="41" t="s">
        <v>209</v>
      </c>
      <c r="T229" s="41" t="s">
        <v>113</v>
      </c>
      <c r="U229" s="39"/>
      <c r="V229" s="39" t="s">
        <v>677</v>
      </c>
      <c r="W229" s="68">
        <v>63867</v>
      </c>
      <c r="X229" s="120"/>
      <c r="Y229" s="68">
        <v>57480</v>
      </c>
      <c r="Z229" s="235"/>
      <c r="AA229" s="68">
        <f t="shared" ref="AA229" si="338">AB229+AC229+AD229+AE229</f>
        <v>57480</v>
      </c>
      <c r="AB229" s="235"/>
      <c r="AC229" s="250">
        <v>57480</v>
      </c>
      <c r="AD229" s="235"/>
      <c r="AE229" s="235"/>
      <c r="AF229" s="250"/>
      <c r="AG229" s="250">
        <v>19000</v>
      </c>
      <c r="AH229" s="213"/>
      <c r="AI229" s="250">
        <v>5700</v>
      </c>
      <c r="AJ229" s="47">
        <f>AF229+AI229</f>
        <v>5700</v>
      </c>
      <c r="AK229" s="217">
        <v>14200</v>
      </c>
      <c r="AL229" s="47">
        <f t="shared" ref="AL229" si="339">AM229+AN229+AO229</f>
        <v>14200</v>
      </c>
      <c r="AM229" s="43"/>
      <c r="AN229" s="46">
        <v>14200</v>
      </c>
      <c r="AO229" s="43"/>
      <c r="AP229" s="43"/>
      <c r="AQ229" s="47"/>
      <c r="AR229" s="48">
        <f t="shared" si="337"/>
        <v>37580</v>
      </c>
      <c r="AS229" s="49" t="e">
        <f>#REF!-AL229</f>
        <v>#REF!</v>
      </c>
    </row>
    <row r="230" spans="1:45" s="50" customFormat="1" ht="34.5" customHeight="1">
      <c r="B230" s="36" t="s">
        <v>105</v>
      </c>
      <c r="C230" s="346" t="s">
        <v>120</v>
      </c>
      <c r="D230" s="247">
        <f t="shared" ref="D230:M231" si="340">D231</f>
        <v>1</v>
      </c>
      <c r="E230" s="43">
        <f t="shared" si="340"/>
        <v>1</v>
      </c>
      <c r="F230" s="43">
        <f t="shared" si="340"/>
        <v>7000</v>
      </c>
      <c r="G230" s="43">
        <f t="shared" si="340"/>
        <v>0</v>
      </c>
      <c r="H230" s="43">
        <f t="shared" si="340"/>
        <v>0</v>
      </c>
      <c r="I230" s="43">
        <f t="shared" si="340"/>
        <v>0</v>
      </c>
      <c r="J230" s="43">
        <f t="shared" si="340"/>
        <v>0</v>
      </c>
      <c r="K230" s="43">
        <f t="shared" si="340"/>
        <v>0</v>
      </c>
      <c r="L230" s="43">
        <f t="shared" si="340"/>
        <v>1</v>
      </c>
      <c r="M230" s="43">
        <f t="shared" si="340"/>
        <v>0</v>
      </c>
      <c r="N230" s="39"/>
      <c r="O230" s="39"/>
      <c r="P230" s="39"/>
      <c r="Q230" s="39"/>
      <c r="R230" s="39"/>
      <c r="S230" s="39"/>
      <c r="T230" s="39"/>
      <c r="U230" s="39"/>
      <c r="V230" s="39"/>
      <c r="W230" s="43">
        <f t="shared" ref="W230:W231" si="341">W231</f>
        <v>18278</v>
      </c>
      <c r="X230" s="235">
        <f t="shared" ref="X230:X231" si="342">X231</f>
        <v>0</v>
      </c>
      <c r="Y230" s="43">
        <f t="shared" ref="Y230:Y231" si="343">Y231</f>
        <v>18278</v>
      </c>
      <c r="Z230" s="235">
        <f t="shared" ref="Z230:Z231" si="344">Z231</f>
        <v>0</v>
      </c>
      <c r="AA230" s="43">
        <f t="shared" ref="AA230:AJ231" si="345">AA231</f>
        <v>13500</v>
      </c>
      <c r="AB230" s="235">
        <f t="shared" si="345"/>
        <v>0</v>
      </c>
      <c r="AC230" s="235">
        <f t="shared" si="345"/>
        <v>13500</v>
      </c>
      <c r="AD230" s="235">
        <f t="shared" si="345"/>
        <v>0</v>
      </c>
      <c r="AE230" s="235">
        <f t="shared" si="345"/>
        <v>0</v>
      </c>
      <c r="AF230" s="235">
        <f t="shared" si="345"/>
        <v>0</v>
      </c>
      <c r="AG230" s="235">
        <f t="shared" si="345"/>
        <v>0</v>
      </c>
      <c r="AH230" s="235">
        <f t="shared" si="345"/>
        <v>0</v>
      </c>
      <c r="AI230" s="235">
        <f t="shared" si="345"/>
        <v>0</v>
      </c>
      <c r="AJ230" s="43">
        <f t="shared" si="345"/>
        <v>0</v>
      </c>
      <c r="AK230" s="235">
        <f t="shared" ref="AK230:AK231" si="346">AK231</f>
        <v>7000</v>
      </c>
      <c r="AL230" s="43">
        <f t="shared" ref="AL230:AL231" si="347">AL231</f>
        <v>7000</v>
      </c>
      <c r="AM230" s="43">
        <f t="shared" ref="AM230:AM231" si="348">AM231</f>
        <v>0</v>
      </c>
      <c r="AN230" s="43">
        <f t="shared" ref="AN230:AN231" si="349">AN231</f>
        <v>7000</v>
      </c>
      <c r="AO230" s="43">
        <f t="shared" ref="AO230:AO231" si="350">AO231</f>
        <v>0</v>
      </c>
      <c r="AP230" s="43">
        <f t="shared" ref="AP230:AP231" si="351">AP231</f>
        <v>0</v>
      </c>
      <c r="AQ230" s="47"/>
      <c r="AR230" s="48">
        <f t="shared" si="337"/>
        <v>6500</v>
      </c>
      <c r="AS230" s="49" t="e">
        <f>#REF!-AL230</f>
        <v>#REF!</v>
      </c>
    </row>
    <row r="231" spans="1:45" s="133" customFormat="1" ht="27" customHeight="1">
      <c r="B231" s="129" t="s">
        <v>202</v>
      </c>
      <c r="C231" s="352" t="s">
        <v>119</v>
      </c>
      <c r="D231" s="439">
        <f t="shared" si="340"/>
        <v>1</v>
      </c>
      <c r="E231" s="69">
        <f t="shared" si="340"/>
        <v>1</v>
      </c>
      <c r="F231" s="69">
        <f t="shared" si="340"/>
        <v>7000</v>
      </c>
      <c r="G231" s="69">
        <f t="shared" si="340"/>
        <v>0</v>
      </c>
      <c r="H231" s="69">
        <f t="shared" si="340"/>
        <v>0</v>
      </c>
      <c r="I231" s="69">
        <f t="shared" si="340"/>
        <v>0</v>
      </c>
      <c r="J231" s="69">
        <f t="shared" si="340"/>
        <v>0</v>
      </c>
      <c r="K231" s="69">
        <f t="shared" si="340"/>
        <v>0</v>
      </c>
      <c r="L231" s="69">
        <f t="shared" si="340"/>
        <v>1</v>
      </c>
      <c r="M231" s="69">
        <f t="shared" si="340"/>
        <v>0</v>
      </c>
      <c r="N231" s="122"/>
      <c r="O231" s="122"/>
      <c r="P231" s="122"/>
      <c r="Q231" s="122"/>
      <c r="R231" s="122"/>
      <c r="S231" s="122"/>
      <c r="T231" s="122"/>
      <c r="U231" s="122"/>
      <c r="V231" s="122"/>
      <c r="W231" s="69">
        <f t="shared" si="341"/>
        <v>18278</v>
      </c>
      <c r="X231" s="236">
        <f t="shared" si="342"/>
        <v>0</v>
      </c>
      <c r="Y231" s="69">
        <f t="shared" si="343"/>
        <v>18278</v>
      </c>
      <c r="Z231" s="236">
        <f t="shared" si="344"/>
        <v>0</v>
      </c>
      <c r="AA231" s="69">
        <f t="shared" si="345"/>
        <v>13500</v>
      </c>
      <c r="AB231" s="236">
        <f t="shared" si="345"/>
        <v>0</v>
      </c>
      <c r="AC231" s="236">
        <f t="shared" si="345"/>
        <v>13500</v>
      </c>
      <c r="AD231" s="236">
        <f t="shared" si="345"/>
        <v>0</v>
      </c>
      <c r="AE231" s="236">
        <f t="shared" si="345"/>
        <v>0</v>
      </c>
      <c r="AF231" s="236">
        <f t="shared" si="345"/>
        <v>0</v>
      </c>
      <c r="AG231" s="236">
        <f t="shared" si="345"/>
        <v>0</v>
      </c>
      <c r="AH231" s="236">
        <f t="shared" si="345"/>
        <v>0</v>
      </c>
      <c r="AI231" s="236">
        <f t="shared" si="345"/>
        <v>0</v>
      </c>
      <c r="AJ231" s="69">
        <f t="shared" si="345"/>
        <v>0</v>
      </c>
      <c r="AK231" s="236">
        <f t="shared" si="346"/>
        <v>7000</v>
      </c>
      <c r="AL231" s="69">
        <f t="shared" si="347"/>
        <v>7000</v>
      </c>
      <c r="AM231" s="69">
        <f t="shared" si="348"/>
        <v>0</v>
      </c>
      <c r="AN231" s="69">
        <f t="shared" si="349"/>
        <v>7000</v>
      </c>
      <c r="AO231" s="69">
        <f t="shared" si="350"/>
        <v>0</v>
      </c>
      <c r="AP231" s="69">
        <f t="shared" si="351"/>
        <v>0</v>
      </c>
      <c r="AQ231" s="130"/>
      <c r="AR231" s="131">
        <f t="shared" si="337"/>
        <v>6500</v>
      </c>
      <c r="AS231" s="132" t="e">
        <f>#REF!-AL231</f>
        <v>#REF!</v>
      </c>
    </row>
    <row r="232" spans="1:45" s="50" customFormat="1" ht="87.95" customHeight="1">
      <c r="B232" s="36"/>
      <c r="C232" s="345" t="s">
        <v>762</v>
      </c>
      <c r="D232" s="93">
        <v>1</v>
      </c>
      <c r="E232" s="47">
        <v>1</v>
      </c>
      <c r="F232" s="47">
        <f>E232*AL232</f>
        <v>7000</v>
      </c>
      <c r="G232" s="47"/>
      <c r="H232" s="47">
        <f>G232*AL232</f>
        <v>0</v>
      </c>
      <c r="I232" s="47"/>
      <c r="J232" s="47"/>
      <c r="K232" s="47"/>
      <c r="L232" s="47">
        <v>1</v>
      </c>
      <c r="M232" s="88"/>
      <c r="N232" s="39" t="s">
        <v>111</v>
      </c>
      <c r="O232" s="39" t="s">
        <v>109</v>
      </c>
      <c r="P232" s="41" t="s">
        <v>203</v>
      </c>
      <c r="Q232" s="39">
        <v>7965936</v>
      </c>
      <c r="R232" s="39"/>
      <c r="S232" s="39"/>
      <c r="T232" s="39" t="s">
        <v>115</v>
      </c>
      <c r="U232" s="39"/>
      <c r="V232" s="39" t="s">
        <v>851</v>
      </c>
      <c r="W232" s="47">
        <v>18278</v>
      </c>
      <c r="X232" s="120"/>
      <c r="Y232" s="47">
        <v>18278</v>
      </c>
      <c r="Z232" s="235"/>
      <c r="AA232" s="47">
        <v>13500</v>
      </c>
      <c r="AB232" s="235"/>
      <c r="AC232" s="120">
        <v>13500</v>
      </c>
      <c r="AD232" s="235"/>
      <c r="AE232" s="235"/>
      <c r="AF232" s="235"/>
      <c r="AG232" s="235"/>
      <c r="AH232" s="235"/>
      <c r="AI232" s="235"/>
      <c r="AJ232" s="47">
        <f>AF232+AI232</f>
        <v>0</v>
      </c>
      <c r="AK232" s="120">
        <v>7000</v>
      </c>
      <c r="AL232" s="47">
        <f t="shared" ref="AL232" si="352">AM232+AN232+AO232</f>
        <v>7000</v>
      </c>
      <c r="AM232" s="43"/>
      <c r="AN232" s="47">
        <v>7000</v>
      </c>
      <c r="AO232" s="43"/>
      <c r="AP232" s="43"/>
      <c r="AQ232" s="47"/>
      <c r="AR232" s="48">
        <f t="shared" si="337"/>
        <v>6500</v>
      </c>
      <c r="AS232" s="49" t="e">
        <f>#REF!-AL232</f>
        <v>#REF!</v>
      </c>
    </row>
    <row r="233" spans="1:45" s="50" customFormat="1" ht="18" customHeight="1">
      <c r="B233" s="80"/>
      <c r="C233" s="340"/>
      <c r="D233" s="247"/>
      <c r="E233" s="47"/>
      <c r="F233" s="47"/>
      <c r="G233" s="47"/>
      <c r="H233" s="47"/>
      <c r="I233" s="47"/>
      <c r="J233" s="47"/>
      <c r="K233" s="47"/>
      <c r="L233" s="47"/>
      <c r="M233" s="88"/>
      <c r="N233" s="39"/>
      <c r="O233" s="39"/>
      <c r="P233" s="39"/>
      <c r="Q233" s="39"/>
      <c r="R233" s="39"/>
      <c r="S233" s="39"/>
      <c r="T233" s="39"/>
      <c r="U233" s="39"/>
      <c r="V233" s="39"/>
      <c r="W233" s="43"/>
      <c r="X233" s="235"/>
      <c r="Y233" s="43"/>
      <c r="Z233" s="235"/>
      <c r="AA233" s="43"/>
      <c r="AB233" s="235"/>
      <c r="AC233" s="235"/>
      <c r="AD233" s="235"/>
      <c r="AE233" s="235"/>
      <c r="AF233" s="235"/>
      <c r="AG233" s="235"/>
      <c r="AH233" s="235"/>
      <c r="AI233" s="235"/>
      <c r="AJ233" s="43"/>
      <c r="AK233" s="235"/>
      <c r="AL233" s="43"/>
      <c r="AM233" s="43"/>
      <c r="AN233" s="43"/>
      <c r="AO233" s="43"/>
      <c r="AP233" s="43"/>
      <c r="AQ233" s="47"/>
      <c r="AR233" s="48">
        <f t="shared" si="337"/>
        <v>0</v>
      </c>
      <c r="AS233" s="49" t="e">
        <f>#REF!-AL233</f>
        <v>#REF!</v>
      </c>
    </row>
    <row r="234" spans="1:45" s="50" customFormat="1" ht="21.95" customHeight="1">
      <c r="B234" s="80" t="s">
        <v>860</v>
      </c>
      <c r="C234" s="349" t="s">
        <v>59</v>
      </c>
      <c r="D234" s="247">
        <f t="shared" ref="D234:M234" si="353">D235+D238</f>
        <v>2</v>
      </c>
      <c r="E234" s="43">
        <f t="shared" si="353"/>
        <v>1</v>
      </c>
      <c r="F234" s="43">
        <f t="shared" si="353"/>
        <v>15000</v>
      </c>
      <c r="G234" s="43">
        <f t="shared" si="353"/>
        <v>1</v>
      </c>
      <c r="H234" s="43">
        <f t="shared" si="353"/>
        <v>4000</v>
      </c>
      <c r="I234" s="43">
        <f t="shared" si="353"/>
        <v>0</v>
      </c>
      <c r="J234" s="43">
        <f t="shared" si="353"/>
        <v>0</v>
      </c>
      <c r="K234" s="43">
        <f t="shared" si="353"/>
        <v>0</v>
      </c>
      <c r="L234" s="43">
        <f t="shared" si="353"/>
        <v>2</v>
      </c>
      <c r="M234" s="43">
        <f t="shared" si="353"/>
        <v>0</v>
      </c>
      <c r="N234" s="39"/>
      <c r="O234" s="39"/>
      <c r="P234" s="39"/>
      <c r="Q234" s="39"/>
      <c r="R234" s="39"/>
      <c r="S234" s="39"/>
      <c r="T234" s="39"/>
      <c r="U234" s="39"/>
      <c r="V234" s="39"/>
      <c r="W234" s="43">
        <f>W235+W238</f>
        <v>83979</v>
      </c>
      <c r="X234" s="235">
        <f t="shared" ref="X234:AP234" si="354">X235+X238</f>
        <v>0</v>
      </c>
      <c r="Y234" s="43">
        <f t="shared" si="354"/>
        <v>76210</v>
      </c>
      <c r="Z234" s="235">
        <f t="shared" si="354"/>
        <v>0</v>
      </c>
      <c r="AA234" s="43">
        <f t="shared" si="354"/>
        <v>76210</v>
      </c>
      <c r="AB234" s="235">
        <f t="shared" si="354"/>
        <v>37210</v>
      </c>
      <c r="AC234" s="235">
        <f t="shared" si="354"/>
        <v>0</v>
      </c>
      <c r="AD234" s="235">
        <f t="shared" si="354"/>
        <v>0</v>
      </c>
      <c r="AE234" s="235">
        <f t="shared" si="354"/>
        <v>0</v>
      </c>
      <c r="AF234" s="235">
        <f t="shared" si="354"/>
        <v>3165.6173210000002</v>
      </c>
      <c r="AG234" s="235">
        <f t="shared" si="354"/>
        <v>30000</v>
      </c>
      <c r="AH234" s="235">
        <f t="shared" si="354"/>
        <v>0</v>
      </c>
      <c r="AI234" s="235">
        <f t="shared" si="354"/>
        <v>30000</v>
      </c>
      <c r="AJ234" s="43">
        <f t="shared" ref="AJ234" si="355">AJ235+AJ238</f>
        <v>33165.617320999998</v>
      </c>
      <c r="AK234" s="235">
        <f t="shared" si="354"/>
        <v>25000</v>
      </c>
      <c r="AL234" s="43">
        <f t="shared" si="354"/>
        <v>19000</v>
      </c>
      <c r="AM234" s="43">
        <f t="shared" si="354"/>
        <v>19000</v>
      </c>
      <c r="AN234" s="43">
        <f t="shared" si="354"/>
        <v>0</v>
      </c>
      <c r="AO234" s="43">
        <f t="shared" si="354"/>
        <v>0</v>
      </c>
      <c r="AP234" s="43">
        <f t="shared" si="354"/>
        <v>0</v>
      </c>
      <c r="AQ234" s="47"/>
      <c r="AR234" s="48">
        <f t="shared" si="337"/>
        <v>24044.382679000002</v>
      </c>
      <c r="AS234" s="49" t="e">
        <f>#REF!-AL234</f>
        <v>#REF!</v>
      </c>
    </row>
    <row r="235" spans="1:45" s="50" customFormat="1" ht="40.5" customHeight="1">
      <c r="B235" s="36" t="s">
        <v>50</v>
      </c>
      <c r="C235" s="340" t="s">
        <v>175</v>
      </c>
      <c r="D235" s="247">
        <f t="shared" ref="D235:M236" si="356">D236</f>
        <v>1</v>
      </c>
      <c r="E235" s="43">
        <f t="shared" si="356"/>
        <v>0</v>
      </c>
      <c r="F235" s="43">
        <f t="shared" si="356"/>
        <v>0</v>
      </c>
      <c r="G235" s="43">
        <f t="shared" si="356"/>
        <v>1</v>
      </c>
      <c r="H235" s="43">
        <f t="shared" si="356"/>
        <v>4000</v>
      </c>
      <c r="I235" s="43">
        <f t="shared" si="356"/>
        <v>0</v>
      </c>
      <c r="J235" s="43">
        <f t="shared" si="356"/>
        <v>0</v>
      </c>
      <c r="K235" s="43">
        <f t="shared" si="356"/>
        <v>0</v>
      </c>
      <c r="L235" s="43">
        <f t="shared" si="356"/>
        <v>1</v>
      </c>
      <c r="M235" s="43">
        <f t="shared" si="356"/>
        <v>0</v>
      </c>
      <c r="N235" s="39"/>
      <c r="O235" s="39"/>
      <c r="P235" s="39"/>
      <c r="Q235" s="39"/>
      <c r="R235" s="39"/>
      <c r="S235" s="39"/>
      <c r="T235" s="39"/>
      <c r="U235" s="39"/>
      <c r="V235" s="39"/>
      <c r="W235" s="43">
        <f>W236</f>
        <v>40942</v>
      </c>
      <c r="X235" s="235">
        <f t="shared" ref="X235:X236" si="357">X236</f>
        <v>0</v>
      </c>
      <c r="Y235" s="43">
        <f t="shared" ref="Y235:Y236" si="358">Y236</f>
        <v>37210</v>
      </c>
      <c r="Z235" s="235">
        <f t="shared" ref="Z235:Z236" si="359">Z236</f>
        <v>0</v>
      </c>
      <c r="AA235" s="43">
        <f t="shared" ref="AA235:AA236" si="360">AA236</f>
        <v>37210</v>
      </c>
      <c r="AB235" s="235">
        <f t="shared" ref="AB235:AB236" si="361">AB236</f>
        <v>37210</v>
      </c>
      <c r="AC235" s="235">
        <f t="shared" ref="AC235:AC236" si="362">AC236</f>
        <v>0</v>
      </c>
      <c r="AD235" s="235">
        <f t="shared" ref="AD235:AD236" si="363">AD236</f>
        <v>0</v>
      </c>
      <c r="AE235" s="235">
        <f t="shared" ref="AE235:AE236" si="364">AE236</f>
        <v>0</v>
      </c>
      <c r="AF235" s="235">
        <f t="shared" ref="AF235:AF236" si="365">AF236</f>
        <v>3165.6173210000002</v>
      </c>
      <c r="AG235" s="235">
        <f t="shared" ref="AG235:AG236" si="366">AG236</f>
        <v>30000</v>
      </c>
      <c r="AH235" s="235">
        <f t="shared" ref="AH235:AH236" si="367">AH236</f>
        <v>0</v>
      </c>
      <c r="AI235" s="235">
        <f t="shared" ref="AI235:AJ236" si="368">AI236</f>
        <v>30000</v>
      </c>
      <c r="AJ235" s="43">
        <f t="shared" si="368"/>
        <v>33165.617320999998</v>
      </c>
      <c r="AK235" s="235">
        <f t="shared" ref="AK235:AK236" si="369">AK236</f>
        <v>4000</v>
      </c>
      <c r="AL235" s="43">
        <f t="shared" ref="AL235:AL236" si="370">AL236</f>
        <v>4000</v>
      </c>
      <c r="AM235" s="43">
        <f t="shared" ref="AM235:AM236" si="371">AM236</f>
        <v>4000</v>
      </c>
      <c r="AN235" s="43">
        <f t="shared" ref="AN235:AN236" si="372">AN236</f>
        <v>0</v>
      </c>
      <c r="AO235" s="43">
        <f t="shared" ref="AO235:AO236" si="373">AO236</f>
        <v>0</v>
      </c>
      <c r="AP235" s="43"/>
      <c r="AQ235" s="47"/>
      <c r="AR235" s="48">
        <f t="shared" si="337"/>
        <v>44.382679000002099</v>
      </c>
      <c r="AS235" s="49" t="e">
        <f>#REF!-AL235</f>
        <v>#REF!</v>
      </c>
    </row>
    <row r="236" spans="1:45" s="50" customFormat="1" ht="23.1" customHeight="1">
      <c r="B236" s="36" t="s">
        <v>106</v>
      </c>
      <c r="C236" s="340" t="s">
        <v>107</v>
      </c>
      <c r="D236" s="247">
        <f t="shared" si="356"/>
        <v>1</v>
      </c>
      <c r="E236" s="43">
        <f t="shared" si="356"/>
        <v>0</v>
      </c>
      <c r="F236" s="43">
        <f t="shared" si="356"/>
        <v>0</v>
      </c>
      <c r="G236" s="43">
        <f t="shared" si="356"/>
        <v>1</v>
      </c>
      <c r="H236" s="43">
        <f t="shared" si="356"/>
        <v>4000</v>
      </c>
      <c r="I236" s="43">
        <f t="shared" si="356"/>
        <v>0</v>
      </c>
      <c r="J236" s="43">
        <f t="shared" si="356"/>
        <v>0</v>
      </c>
      <c r="K236" s="43">
        <f t="shared" si="356"/>
        <v>0</v>
      </c>
      <c r="L236" s="43">
        <f t="shared" si="356"/>
        <v>1</v>
      </c>
      <c r="M236" s="43">
        <f t="shared" si="356"/>
        <v>0</v>
      </c>
      <c r="N236" s="39"/>
      <c r="O236" s="39"/>
      <c r="P236" s="39"/>
      <c r="Q236" s="39"/>
      <c r="R236" s="39"/>
      <c r="S236" s="39"/>
      <c r="T236" s="39"/>
      <c r="U236" s="39"/>
      <c r="V236" s="39"/>
      <c r="W236" s="43">
        <f t="shared" ref="W236" si="374">W237</f>
        <v>40942</v>
      </c>
      <c r="X236" s="235">
        <f t="shared" si="357"/>
        <v>0</v>
      </c>
      <c r="Y236" s="43">
        <f t="shared" si="358"/>
        <v>37210</v>
      </c>
      <c r="Z236" s="235">
        <f t="shared" si="359"/>
        <v>0</v>
      </c>
      <c r="AA236" s="43">
        <f t="shared" si="360"/>
        <v>37210</v>
      </c>
      <c r="AB236" s="235">
        <f t="shared" si="361"/>
        <v>37210</v>
      </c>
      <c r="AC236" s="235">
        <f t="shared" si="362"/>
        <v>0</v>
      </c>
      <c r="AD236" s="235">
        <f t="shared" si="363"/>
        <v>0</v>
      </c>
      <c r="AE236" s="235">
        <f t="shared" si="364"/>
        <v>0</v>
      </c>
      <c r="AF236" s="235">
        <f t="shared" si="365"/>
        <v>3165.6173210000002</v>
      </c>
      <c r="AG236" s="235">
        <f t="shared" si="366"/>
        <v>30000</v>
      </c>
      <c r="AH236" s="235">
        <f t="shared" si="367"/>
        <v>0</v>
      </c>
      <c r="AI236" s="235">
        <f t="shared" si="368"/>
        <v>30000</v>
      </c>
      <c r="AJ236" s="43">
        <f t="shared" si="368"/>
        <v>33165.617320999998</v>
      </c>
      <c r="AK236" s="235">
        <f t="shared" si="369"/>
        <v>4000</v>
      </c>
      <c r="AL236" s="43">
        <f t="shared" si="370"/>
        <v>4000</v>
      </c>
      <c r="AM236" s="43">
        <f t="shared" si="371"/>
        <v>4000</v>
      </c>
      <c r="AN236" s="43">
        <f t="shared" si="372"/>
        <v>0</v>
      </c>
      <c r="AO236" s="43">
        <f t="shared" si="373"/>
        <v>0</v>
      </c>
      <c r="AP236" s="43"/>
      <c r="AQ236" s="47"/>
      <c r="AR236" s="48">
        <f t="shared" si="337"/>
        <v>44.382679000002099</v>
      </c>
      <c r="AS236" s="49" t="e">
        <f>#REF!-AL236</f>
        <v>#REF!</v>
      </c>
    </row>
    <row r="237" spans="1:45" s="50" customFormat="1" ht="90">
      <c r="A237" s="50" t="s">
        <v>749</v>
      </c>
      <c r="B237" s="36"/>
      <c r="C237" s="102" t="s">
        <v>220</v>
      </c>
      <c r="D237" s="93">
        <v>1</v>
      </c>
      <c r="E237" s="47"/>
      <c r="F237" s="47"/>
      <c r="G237" s="47">
        <v>1</v>
      </c>
      <c r="H237" s="47">
        <f>G237*AL237</f>
        <v>4000</v>
      </c>
      <c r="I237" s="47"/>
      <c r="J237" s="47"/>
      <c r="K237" s="47"/>
      <c r="L237" s="47">
        <v>1</v>
      </c>
      <c r="M237" s="88"/>
      <c r="N237" s="41" t="s">
        <v>111</v>
      </c>
      <c r="O237" s="93" t="s">
        <v>109</v>
      </c>
      <c r="P237" s="41" t="s">
        <v>34</v>
      </c>
      <c r="Q237" s="41">
        <v>7889131</v>
      </c>
      <c r="R237" s="41"/>
      <c r="S237" s="41" t="s">
        <v>852</v>
      </c>
      <c r="T237" s="41" t="s">
        <v>114</v>
      </c>
      <c r="U237" s="39"/>
      <c r="V237" s="39" t="s">
        <v>221</v>
      </c>
      <c r="W237" s="44">
        <v>40942</v>
      </c>
      <c r="X237" s="250"/>
      <c r="Y237" s="68">
        <v>37210</v>
      </c>
      <c r="Z237" s="235"/>
      <c r="AA237" s="68">
        <f t="shared" ref="AA237" si="375">AB237+AC237+AD237+AE237</f>
        <v>37210</v>
      </c>
      <c r="AB237" s="120">
        <f>37000+210</f>
        <v>37210</v>
      </c>
      <c r="AC237" s="235"/>
      <c r="AD237" s="235"/>
      <c r="AE237" s="235"/>
      <c r="AF237" s="250">
        <f>2955.617321+210</f>
        <v>3165.6173210000002</v>
      </c>
      <c r="AG237" s="250">
        <f>10000+20000</f>
        <v>30000</v>
      </c>
      <c r="AH237" s="235"/>
      <c r="AI237" s="250">
        <f>30000</f>
        <v>30000</v>
      </c>
      <c r="AJ237" s="47">
        <f>AF237+AI237</f>
        <v>33165.617320999998</v>
      </c>
      <c r="AK237" s="250">
        <v>4000</v>
      </c>
      <c r="AL237" s="47">
        <f t="shared" ref="AL237" si="376">AM237+AN237+AO237</f>
        <v>4000</v>
      </c>
      <c r="AM237" s="47">
        <v>4000</v>
      </c>
      <c r="AN237" s="43"/>
      <c r="AO237" s="43"/>
      <c r="AP237" s="43"/>
      <c r="AQ237" s="47"/>
      <c r="AR237" s="48">
        <f t="shared" si="337"/>
        <v>44.382679000002099</v>
      </c>
      <c r="AS237" s="49" t="e">
        <f>#REF!-AL237</f>
        <v>#REF!</v>
      </c>
    </row>
    <row r="238" spans="1:45" s="50" customFormat="1" ht="39" customHeight="1">
      <c r="B238" s="36" t="s">
        <v>51</v>
      </c>
      <c r="C238" s="340" t="s">
        <v>120</v>
      </c>
      <c r="D238" s="436">
        <f t="shared" ref="D238:M239" si="377">D239</f>
        <v>1</v>
      </c>
      <c r="E238" s="54">
        <f t="shared" si="377"/>
        <v>1</v>
      </c>
      <c r="F238" s="54">
        <f t="shared" si="377"/>
        <v>15000</v>
      </c>
      <c r="G238" s="54">
        <f t="shared" si="377"/>
        <v>0</v>
      </c>
      <c r="H238" s="54">
        <f t="shared" si="377"/>
        <v>0</v>
      </c>
      <c r="I238" s="54">
        <f t="shared" si="377"/>
        <v>0</v>
      </c>
      <c r="J238" s="54">
        <f t="shared" si="377"/>
        <v>0</v>
      </c>
      <c r="K238" s="54">
        <f t="shared" si="377"/>
        <v>0</v>
      </c>
      <c r="L238" s="54">
        <f t="shared" si="377"/>
        <v>1</v>
      </c>
      <c r="M238" s="54">
        <f t="shared" si="377"/>
        <v>0</v>
      </c>
      <c r="N238" s="41"/>
      <c r="O238" s="93"/>
      <c r="P238" s="41"/>
      <c r="Q238" s="41"/>
      <c r="R238" s="41"/>
      <c r="S238" s="41"/>
      <c r="T238" s="41"/>
      <c r="U238" s="39"/>
      <c r="V238" s="39"/>
      <c r="W238" s="54">
        <f>W239</f>
        <v>43037</v>
      </c>
      <c r="X238" s="214">
        <f t="shared" ref="X238:AO239" si="378">X239</f>
        <v>0</v>
      </c>
      <c r="Y238" s="54">
        <f t="shared" si="378"/>
        <v>39000</v>
      </c>
      <c r="Z238" s="214">
        <f t="shared" si="378"/>
        <v>0</v>
      </c>
      <c r="AA238" s="54">
        <f t="shared" si="378"/>
        <v>39000</v>
      </c>
      <c r="AB238" s="214">
        <f t="shared" si="378"/>
        <v>0</v>
      </c>
      <c r="AC238" s="214">
        <f t="shared" si="378"/>
        <v>0</v>
      </c>
      <c r="AD238" s="214">
        <f t="shared" si="378"/>
        <v>0</v>
      </c>
      <c r="AE238" s="214">
        <f t="shared" si="378"/>
        <v>0</v>
      </c>
      <c r="AF238" s="214">
        <f t="shared" si="378"/>
        <v>0</v>
      </c>
      <c r="AG238" s="214">
        <f t="shared" si="378"/>
        <v>0</v>
      </c>
      <c r="AH238" s="214">
        <f t="shared" si="378"/>
        <v>0</v>
      </c>
      <c r="AI238" s="214">
        <f t="shared" si="378"/>
        <v>0</v>
      </c>
      <c r="AJ238" s="54"/>
      <c r="AK238" s="214">
        <f t="shared" si="378"/>
        <v>21000</v>
      </c>
      <c r="AL238" s="54">
        <f t="shared" si="378"/>
        <v>15000</v>
      </c>
      <c r="AM238" s="54">
        <f t="shared" si="378"/>
        <v>15000</v>
      </c>
      <c r="AN238" s="54">
        <f t="shared" si="378"/>
        <v>0</v>
      </c>
      <c r="AO238" s="54">
        <f t="shared" si="378"/>
        <v>0</v>
      </c>
      <c r="AP238" s="43"/>
      <c r="AQ238" s="47"/>
      <c r="AR238" s="48"/>
      <c r="AS238" s="49" t="e">
        <f>#REF!-AL238</f>
        <v>#REF!</v>
      </c>
    </row>
    <row r="239" spans="1:45" s="259" customFormat="1" ht="24" customHeight="1">
      <c r="B239" s="129" t="s">
        <v>121</v>
      </c>
      <c r="C239" s="348" t="s">
        <v>119</v>
      </c>
      <c r="D239" s="439">
        <f t="shared" si="377"/>
        <v>1</v>
      </c>
      <c r="E239" s="69">
        <f t="shared" si="377"/>
        <v>1</v>
      </c>
      <c r="F239" s="69">
        <f t="shared" si="377"/>
        <v>15000</v>
      </c>
      <c r="G239" s="69">
        <f t="shared" si="377"/>
        <v>0</v>
      </c>
      <c r="H239" s="69">
        <f t="shared" si="377"/>
        <v>0</v>
      </c>
      <c r="I239" s="69">
        <f t="shared" si="377"/>
        <v>0</v>
      </c>
      <c r="J239" s="69">
        <f t="shared" si="377"/>
        <v>0</v>
      </c>
      <c r="K239" s="69">
        <f t="shared" si="377"/>
        <v>0</v>
      </c>
      <c r="L239" s="69">
        <f t="shared" si="377"/>
        <v>1</v>
      </c>
      <c r="M239" s="69">
        <f t="shared" si="377"/>
        <v>0</v>
      </c>
      <c r="N239" s="245"/>
      <c r="O239" s="260"/>
      <c r="P239" s="260"/>
      <c r="Q239" s="245"/>
      <c r="R239" s="245"/>
      <c r="S239" s="245"/>
      <c r="T239" s="245"/>
      <c r="U239" s="245"/>
      <c r="V239" s="245"/>
      <c r="W239" s="69">
        <f>W240</f>
        <v>43037</v>
      </c>
      <c r="X239" s="236">
        <f t="shared" si="378"/>
        <v>0</v>
      </c>
      <c r="Y239" s="69">
        <f t="shared" si="378"/>
        <v>39000</v>
      </c>
      <c r="Z239" s="236">
        <f t="shared" si="378"/>
        <v>0</v>
      </c>
      <c r="AA239" s="69">
        <f t="shared" si="378"/>
        <v>39000</v>
      </c>
      <c r="AB239" s="236">
        <f t="shared" si="378"/>
        <v>0</v>
      </c>
      <c r="AC239" s="236">
        <f t="shared" si="378"/>
        <v>0</v>
      </c>
      <c r="AD239" s="236">
        <f t="shared" si="378"/>
        <v>0</v>
      </c>
      <c r="AE239" s="236">
        <f t="shared" si="378"/>
        <v>0</v>
      </c>
      <c r="AF239" s="236">
        <f t="shared" si="378"/>
        <v>0</v>
      </c>
      <c r="AG239" s="236">
        <f t="shared" si="378"/>
        <v>0</v>
      </c>
      <c r="AH239" s="236">
        <f t="shared" si="378"/>
        <v>0</v>
      </c>
      <c r="AI239" s="236">
        <f t="shared" si="378"/>
        <v>0</v>
      </c>
      <c r="AJ239" s="69">
        <f t="shared" si="378"/>
        <v>0</v>
      </c>
      <c r="AK239" s="236">
        <f t="shared" si="378"/>
        <v>21000</v>
      </c>
      <c r="AL239" s="69">
        <f t="shared" si="378"/>
        <v>15000</v>
      </c>
      <c r="AM239" s="69">
        <f t="shared" si="378"/>
        <v>15000</v>
      </c>
      <c r="AN239" s="69">
        <f t="shared" si="378"/>
        <v>0</v>
      </c>
      <c r="AO239" s="69">
        <f t="shared" si="378"/>
        <v>0</v>
      </c>
      <c r="AP239" s="69"/>
      <c r="AQ239" s="332"/>
    </row>
    <row r="240" spans="1:45" s="73" customFormat="1" ht="56.1" customHeight="1">
      <c r="A240" s="73" t="s">
        <v>749</v>
      </c>
      <c r="B240" s="237">
        <v>1</v>
      </c>
      <c r="C240" s="345" t="s">
        <v>741</v>
      </c>
      <c r="D240" s="159">
        <v>1</v>
      </c>
      <c r="E240" s="119">
        <v>1</v>
      </c>
      <c r="F240" s="119">
        <f>E240*AL240</f>
        <v>15000</v>
      </c>
      <c r="G240" s="119"/>
      <c r="H240" s="119"/>
      <c r="I240" s="47"/>
      <c r="J240" s="47"/>
      <c r="K240" s="47"/>
      <c r="L240" s="47">
        <v>1</v>
      </c>
      <c r="M240" s="39"/>
      <c r="N240" s="39" t="s">
        <v>111</v>
      </c>
      <c r="O240" s="105" t="s">
        <v>109</v>
      </c>
      <c r="P240" s="105" t="s">
        <v>132</v>
      </c>
      <c r="Q240" s="39">
        <v>7935422</v>
      </c>
      <c r="R240" s="39"/>
      <c r="S240" s="39" t="s">
        <v>739</v>
      </c>
      <c r="T240" s="39" t="s">
        <v>115</v>
      </c>
      <c r="U240" s="39"/>
      <c r="V240" s="39" t="s">
        <v>740</v>
      </c>
      <c r="W240" s="47">
        <v>43037</v>
      </c>
      <c r="X240" s="120"/>
      <c r="Y240" s="47">
        <v>39000</v>
      </c>
      <c r="Z240" s="120"/>
      <c r="AA240" s="47">
        <v>39000</v>
      </c>
      <c r="AB240" s="120"/>
      <c r="AC240" s="120"/>
      <c r="AD240" s="120"/>
      <c r="AE240" s="120"/>
      <c r="AF240" s="120"/>
      <c r="AG240" s="120"/>
      <c r="AH240" s="120"/>
      <c r="AI240" s="120"/>
      <c r="AJ240" s="47"/>
      <c r="AK240" s="120">
        <v>21000</v>
      </c>
      <c r="AL240" s="47">
        <f t="shared" ref="AL240" si="379">AM240+AN240+AO240</f>
        <v>15000</v>
      </c>
      <c r="AM240" s="47">
        <v>15000</v>
      </c>
      <c r="AN240" s="47"/>
      <c r="AO240" s="47"/>
      <c r="AP240" s="47"/>
      <c r="AQ240" s="153"/>
    </row>
    <row r="241" spans="1:45" s="50" customFormat="1" ht="15.75">
      <c r="B241" s="89"/>
      <c r="C241" s="342"/>
      <c r="D241" s="93"/>
      <c r="E241" s="47"/>
      <c r="F241" s="47"/>
      <c r="G241" s="47"/>
      <c r="H241" s="47"/>
      <c r="I241" s="47"/>
      <c r="J241" s="47"/>
      <c r="K241" s="47"/>
      <c r="L241" s="47"/>
      <c r="M241" s="242"/>
      <c r="N241" s="39"/>
      <c r="O241" s="105"/>
      <c r="P241" s="105"/>
      <c r="Q241" s="39"/>
      <c r="R241" s="39"/>
      <c r="S241" s="39"/>
      <c r="T241" s="39"/>
      <c r="U241" s="39"/>
      <c r="V241" s="39"/>
      <c r="W241" s="95"/>
      <c r="X241" s="120"/>
      <c r="Y241" s="47"/>
      <c r="Z241" s="120"/>
      <c r="AA241" s="47"/>
      <c r="AB241" s="120"/>
      <c r="AC241" s="120"/>
      <c r="AD241" s="120"/>
      <c r="AE241" s="120"/>
      <c r="AF241" s="120"/>
      <c r="AG241" s="120"/>
      <c r="AH241" s="120"/>
      <c r="AI241" s="120"/>
      <c r="AJ241" s="47"/>
      <c r="AK241" s="120"/>
      <c r="AL241" s="47"/>
      <c r="AM241" s="47"/>
      <c r="AN241" s="47"/>
      <c r="AO241" s="47"/>
      <c r="AP241" s="47"/>
      <c r="AQ241" s="47"/>
      <c r="AR241" s="48"/>
      <c r="AS241" s="49" t="e">
        <f>#REF!-AL241</f>
        <v>#REF!</v>
      </c>
    </row>
    <row r="242" spans="1:45" s="50" customFormat="1" ht="18" customHeight="1">
      <c r="B242" s="36" t="s">
        <v>861</v>
      </c>
      <c r="C242" s="340" t="s">
        <v>194</v>
      </c>
      <c r="D242" s="247">
        <f t="shared" ref="D242:J242" si="380">D243+D247</f>
        <v>6</v>
      </c>
      <c r="E242" s="43">
        <f t="shared" si="380"/>
        <v>4</v>
      </c>
      <c r="F242" s="43">
        <f t="shared" si="380"/>
        <v>266100</v>
      </c>
      <c r="G242" s="43">
        <f t="shared" si="380"/>
        <v>0</v>
      </c>
      <c r="H242" s="43">
        <f t="shared" si="380"/>
        <v>0</v>
      </c>
      <c r="I242" s="43">
        <f t="shared" si="380"/>
        <v>2</v>
      </c>
      <c r="J242" s="43">
        <f t="shared" si="380"/>
        <v>75000</v>
      </c>
      <c r="K242" s="43">
        <f t="shared" ref="K242:M242" si="381">K243+K247</f>
        <v>0</v>
      </c>
      <c r="L242" s="43">
        <f t="shared" si="381"/>
        <v>6</v>
      </c>
      <c r="M242" s="43">
        <f t="shared" si="381"/>
        <v>0</v>
      </c>
      <c r="N242" s="39"/>
      <c r="O242" s="39"/>
      <c r="P242" s="93"/>
      <c r="Q242" s="39"/>
      <c r="R242" s="39"/>
      <c r="S242" s="93"/>
      <c r="T242" s="39"/>
      <c r="U242" s="39"/>
      <c r="V242" s="39"/>
      <c r="W242" s="43">
        <f t="shared" ref="W242:AN242" si="382">W243+W247</f>
        <v>625533.89399999997</v>
      </c>
      <c r="X242" s="235">
        <f t="shared" si="382"/>
        <v>199500</v>
      </c>
      <c r="Y242" s="43">
        <f t="shared" si="382"/>
        <v>566700</v>
      </c>
      <c r="Z242" s="235">
        <f t="shared" si="382"/>
        <v>0</v>
      </c>
      <c r="AA242" s="43">
        <f t="shared" si="382"/>
        <v>566700</v>
      </c>
      <c r="AB242" s="235">
        <f t="shared" si="382"/>
        <v>0</v>
      </c>
      <c r="AC242" s="235">
        <f t="shared" si="382"/>
        <v>431200</v>
      </c>
      <c r="AD242" s="235">
        <f t="shared" si="382"/>
        <v>135500</v>
      </c>
      <c r="AE242" s="235">
        <f t="shared" si="382"/>
        <v>0</v>
      </c>
      <c r="AF242" s="235">
        <f t="shared" si="382"/>
        <v>485.13900000000001</v>
      </c>
      <c r="AG242" s="235">
        <f t="shared" si="382"/>
        <v>15200</v>
      </c>
      <c r="AH242" s="235">
        <f t="shared" si="382"/>
        <v>577.02599999999995</v>
      </c>
      <c r="AI242" s="235">
        <f t="shared" si="382"/>
        <v>15200</v>
      </c>
      <c r="AJ242" s="43">
        <f t="shared" ref="AJ242" si="383">AJ243+AJ247</f>
        <v>15685.138999999999</v>
      </c>
      <c r="AK242" s="235">
        <f t="shared" si="382"/>
        <v>361100</v>
      </c>
      <c r="AL242" s="43">
        <f t="shared" si="382"/>
        <v>341100</v>
      </c>
      <c r="AM242" s="43">
        <f t="shared" si="382"/>
        <v>0</v>
      </c>
      <c r="AN242" s="43">
        <f t="shared" si="382"/>
        <v>205600</v>
      </c>
      <c r="AO242" s="43">
        <f t="shared" ref="AO242:AP242" si="384">AO243+AO247</f>
        <v>0</v>
      </c>
      <c r="AP242" s="43">
        <f t="shared" si="384"/>
        <v>135500</v>
      </c>
      <c r="AQ242" s="47"/>
      <c r="AR242" s="48">
        <f t="shared" ref="AR242:AR249" si="385">AA242-(AF242+AI242+AL242)</f>
        <v>209914.86099999998</v>
      </c>
      <c r="AS242" s="49" t="e">
        <f>#REF!-AL242</f>
        <v>#REF!</v>
      </c>
    </row>
    <row r="243" spans="1:45" s="50" customFormat="1" ht="32.1" customHeight="1">
      <c r="B243" s="36" t="s">
        <v>50</v>
      </c>
      <c r="C243" s="340" t="s">
        <v>174</v>
      </c>
      <c r="D243" s="247">
        <f t="shared" ref="D243:M243" si="386">D244</f>
        <v>2</v>
      </c>
      <c r="E243" s="43">
        <f t="shared" si="386"/>
        <v>0</v>
      </c>
      <c r="F243" s="43">
        <f t="shared" si="386"/>
        <v>0</v>
      </c>
      <c r="G243" s="43">
        <f t="shared" si="386"/>
        <v>0</v>
      </c>
      <c r="H243" s="43">
        <f t="shared" si="386"/>
        <v>0</v>
      </c>
      <c r="I243" s="43">
        <f t="shared" si="386"/>
        <v>2</v>
      </c>
      <c r="J243" s="43">
        <f t="shared" si="386"/>
        <v>75000</v>
      </c>
      <c r="K243" s="43">
        <f t="shared" si="386"/>
        <v>0</v>
      </c>
      <c r="L243" s="43">
        <f t="shared" si="386"/>
        <v>2</v>
      </c>
      <c r="M243" s="43">
        <f t="shared" si="386"/>
        <v>0</v>
      </c>
      <c r="N243" s="39"/>
      <c r="O243" s="39"/>
      <c r="P243" s="39"/>
      <c r="Q243" s="39"/>
      <c r="R243" s="39"/>
      <c r="S243" s="39"/>
      <c r="T243" s="39"/>
      <c r="U243" s="39"/>
      <c r="V243" s="39"/>
      <c r="W243" s="43">
        <f t="shared" ref="W243" si="387">W244</f>
        <v>197382.894</v>
      </c>
      <c r="X243" s="235">
        <f t="shared" ref="X243" si="388">X244</f>
        <v>0</v>
      </c>
      <c r="Y243" s="43">
        <f t="shared" ref="Y243" si="389">Y244</f>
        <v>178200</v>
      </c>
      <c r="Z243" s="235">
        <f t="shared" ref="Z243" si="390">Z244</f>
        <v>0</v>
      </c>
      <c r="AA243" s="43">
        <f t="shared" ref="AA243" si="391">AA244</f>
        <v>178200</v>
      </c>
      <c r="AB243" s="235">
        <f t="shared" ref="AB243" si="392">AB244</f>
        <v>0</v>
      </c>
      <c r="AC243" s="235">
        <f t="shared" ref="AC243" si="393">AC244</f>
        <v>178200</v>
      </c>
      <c r="AD243" s="235">
        <f t="shared" ref="AD243" si="394">AD244</f>
        <v>0</v>
      </c>
      <c r="AE243" s="235">
        <f t="shared" ref="AE243" si="395">AE244</f>
        <v>0</v>
      </c>
      <c r="AF243" s="235">
        <f t="shared" ref="AF243" si="396">AF244</f>
        <v>485.13900000000001</v>
      </c>
      <c r="AG243" s="235">
        <f t="shared" ref="AG243" si="397">AG244</f>
        <v>15200</v>
      </c>
      <c r="AH243" s="235">
        <f t="shared" ref="AH243" si="398">AH244</f>
        <v>577.02599999999995</v>
      </c>
      <c r="AI243" s="235">
        <f t="shared" ref="AI243:AJ243" si="399">AI244</f>
        <v>15200</v>
      </c>
      <c r="AJ243" s="43">
        <f t="shared" si="399"/>
        <v>15685.138999999999</v>
      </c>
      <c r="AK243" s="235">
        <f t="shared" ref="AK243" si="400">AK244</f>
        <v>75000</v>
      </c>
      <c r="AL243" s="43">
        <f t="shared" ref="AL243" si="401">AL244</f>
        <v>75000</v>
      </c>
      <c r="AM243" s="43">
        <f t="shared" ref="AM243" si="402">AM244</f>
        <v>0</v>
      </c>
      <c r="AN243" s="43">
        <f t="shared" ref="AN243:AP243" si="403">AN244</f>
        <v>75000</v>
      </c>
      <c r="AO243" s="43">
        <f t="shared" si="403"/>
        <v>0</v>
      </c>
      <c r="AP243" s="43">
        <f t="shared" si="403"/>
        <v>0</v>
      </c>
      <c r="AQ243" s="47"/>
      <c r="AR243" s="48">
        <f t="shared" si="385"/>
        <v>87514.861000000004</v>
      </c>
      <c r="AS243" s="49" t="e">
        <f>#REF!-AL243</f>
        <v>#REF!</v>
      </c>
    </row>
    <row r="244" spans="1:45" s="133" customFormat="1" ht="18" customHeight="1">
      <c r="B244" s="129" t="s">
        <v>106</v>
      </c>
      <c r="C244" s="348" t="s">
        <v>107</v>
      </c>
      <c r="D244" s="439">
        <f t="shared" ref="D244:J244" si="404">D245+D246</f>
        <v>2</v>
      </c>
      <c r="E244" s="69">
        <f t="shared" si="404"/>
        <v>0</v>
      </c>
      <c r="F244" s="69">
        <f t="shared" si="404"/>
        <v>0</v>
      </c>
      <c r="G244" s="69">
        <f t="shared" si="404"/>
        <v>0</v>
      </c>
      <c r="H244" s="69">
        <f t="shared" si="404"/>
        <v>0</v>
      </c>
      <c r="I244" s="69">
        <f t="shared" si="404"/>
        <v>2</v>
      </c>
      <c r="J244" s="69">
        <f t="shared" si="404"/>
        <v>75000</v>
      </c>
      <c r="K244" s="69">
        <f t="shared" ref="K244:M244" si="405">K245+K246</f>
        <v>0</v>
      </c>
      <c r="L244" s="69">
        <f t="shared" si="405"/>
        <v>2</v>
      </c>
      <c r="M244" s="69">
        <f t="shared" si="405"/>
        <v>0</v>
      </c>
      <c r="N244" s="122"/>
      <c r="O244" s="122"/>
      <c r="P244" s="122"/>
      <c r="Q244" s="122"/>
      <c r="R244" s="122"/>
      <c r="S244" s="122"/>
      <c r="T244" s="122"/>
      <c r="U244" s="122"/>
      <c r="V244" s="122"/>
      <c r="W244" s="69">
        <f t="shared" ref="W244" si="406">W245+W246</f>
        <v>197382.894</v>
      </c>
      <c r="X244" s="236">
        <f t="shared" ref="X244" si="407">X245+X246</f>
        <v>0</v>
      </c>
      <c r="Y244" s="69">
        <f t="shared" ref="Y244" si="408">Y245+Y246</f>
        <v>178200</v>
      </c>
      <c r="Z244" s="236">
        <f t="shared" ref="Z244" si="409">Z245+Z246</f>
        <v>0</v>
      </c>
      <c r="AA244" s="69">
        <f t="shared" ref="AA244" si="410">AA245+AA246</f>
        <v>178200</v>
      </c>
      <c r="AB244" s="236">
        <f t="shared" ref="AB244" si="411">AB245+AB246</f>
        <v>0</v>
      </c>
      <c r="AC244" s="236">
        <f t="shared" ref="AC244" si="412">AC245+AC246</f>
        <v>178200</v>
      </c>
      <c r="AD244" s="236">
        <f t="shared" ref="AD244" si="413">AD245+AD246</f>
        <v>0</v>
      </c>
      <c r="AE244" s="236">
        <f t="shared" ref="AE244" si="414">AE245+AE246</f>
        <v>0</v>
      </c>
      <c r="AF244" s="236">
        <f t="shared" ref="AF244" si="415">AF245+AF246</f>
        <v>485.13900000000001</v>
      </c>
      <c r="AG244" s="236">
        <f t="shared" ref="AG244" si="416">AG245+AG246</f>
        <v>15200</v>
      </c>
      <c r="AH244" s="236">
        <f t="shared" ref="AH244" si="417">AH245+AH246</f>
        <v>577.02599999999995</v>
      </c>
      <c r="AI244" s="236">
        <f t="shared" ref="AI244:AJ244" si="418">AI245+AI246</f>
        <v>15200</v>
      </c>
      <c r="AJ244" s="69">
        <f t="shared" si="418"/>
        <v>15685.138999999999</v>
      </c>
      <c r="AK244" s="236">
        <f t="shared" ref="AK244" si="419">AK245+AK246</f>
        <v>75000</v>
      </c>
      <c r="AL244" s="69">
        <f t="shared" ref="AL244" si="420">AL245+AL246</f>
        <v>75000</v>
      </c>
      <c r="AM244" s="69">
        <f t="shared" ref="AM244" si="421">AM245+AM246</f>
        <v>0</v>
      </c>
      <c r="AN244" s="69">
        <f t="shared" ref="AN244" si="422">AN245+AN246</f>
        <v>75000</v>
      </c>
      <c r="AO244" s="69">
        <f t="shared" ref="AO244:AP244" si="423">AO245+AO246</f>
        <v>0</v>
      </c>
      <c r="AP244" s="69">
        <f t="shared" si="423"/>
        <v>0</v>
      </c>
      <c r="AQ244" s="130"/>
      <c r="AR244" s="131">
        <f t="shared" si="385"/>
        <v>87514.861000000004</v>
      </c>
      <c r="AS244" s="132" t="e">
        <f>#REF!-AL244</f>
        <v>#REF!</v>
      </c>
    </row>
    <row r="245" spans="1:45" s="50" customFormat="1" ht="72.599999999999994" customHeight="1">
      <c r="A245" s="50" t="s">
        <v>104</v>
      </c>
      <c r="B245" s="237">
        <v>1</v>
      </c>
      <c r="C245" s="312" t="s">
        <v>853</v>
      </c>
      <c r="D245" s="93">
        <v>1</v>
      </c>
      <c r="E245" s="47"/>
      <c r="F245" s="47"/>
      <c r="G245" s="47"/>
      <c r="H245" s="47"/>
      <c r="I245" s="47">
        <v>1</v>
      </c>
      <c r="J245" s="47">
        <f>I245*AL245</f>
        <v>25000</v>
      </c>
      <c r="K245" s="47"/>
      <c r="L245" s="47">
        <v>1</v>
      </c>
      <c r="M245" s="88"/>
      <c r="N245" s="40" t="s">
        <v>195</v>
      </c>
      <c r="O245" s="105" t="s">
        <v>109</v>
      </c>
      <c r="P245" s="41" t="s">
        <v>196</v>
      </c>
      <c r="Q245" s="40">
        <v>7914989</v>
      </c>
      <c r="R245" s="40"/>
      <c r="S245" s="41" t="s">
        <v>767</v>
      </c>
      <c r="T245" s="39" t="s">
        <v>115</v>
      </c>
      <c r="U245" s="39"/>
      <c r="V245" s="41" t="s">
        <v>197</v>
      </c>
      <c r="W245" s="68">
        <v>58691</v>
      </c>
      <c r="X245" s="250"/>
      <c r="Y245" s="47">
        <v>53400</v>
      </c>
      <c r="Z245" s="235"/>
      <c r="AA245" s="47">
        <v>53400</v>
      </c>
      <c r="AB245" s="235"/>
      <c r="AC245" s="120">
        <v>53400</v>
      </c>
      <c r="AD245" s="235"/>
      <c r="AE245" s="235"/>
      <c r="AF245" s="250">
        <v>183.13900000000001</v>
      </c>
      <c r="AG245" s="250">
        <v>12300</v>
      </c>
      <c r="AH245" s="221">
        <v>577.02599999999995</v>
      </c>
      <c r="AI245" s="250">
        <v>12300</v>
      </c>
      <c r="AJ245" s="47">
        <f>AF245+AI245</f>
        <v>12483.138999999999</v>
      </c>
      <c r="AK245" s="221">
        <v>25000</v>
      </c>
      <c r="AL245" s="47">
        <f t="shared" ref="AL245:AL246" si="424">AM245+AN245+AO245</f>
        <v>25000</v>
      </c>
      <c r="AM245" s="43"/>
      <c r="AN245" s="65">
        <v>25000</v>
      </c>
      <c r="AO245" s="43"/>
      <c r="AP245" s="43"/>
      <c r="AQ245" s="47"/>
      <c r="AR245" s="48">
        <f t="shared" si="385"/>
        <v>15916.861000000004</v>
      </c>
      <c r="AS245" s="49" t="e">
        <f>#REF!-AL245</f>
        <v>#REF!</v>
      </c>
    </row>
    <row r="246" spans="1:45" s="50" customFormat="1" ht="84.95" customHeight="1">
      <c r="A246" s="50" t="s">
        <v>104</v>
      </c>
      <c r="B246" s="237">
        <v>2</v>
      </c>
      <c r="C246" s="345" t="s">
        <v>765</v>
      </c>
      <c r="D246" s="93">
        <v>1</v>
      </c>
      <c r="E246" s="47"/>
      <c r="F246" s="47"/>
      <c r="G246" s="47"/>
      <c r="H246" s="47"/>
      <c r="I246" s="47">
        <v>1</v>
      </c>
      <c r="J246" s="47">
        <f>I246*AL246</f>
        <v>50000</v>
      </c>
      <c r="K246" s="47"/>
      <c r="L246" s="47">
        <v>1</v>
      </c>
      <c r="M246" s="88"/>
      <c r="N246" s="109" t="s">
        <v>136</v>
      </c>
      <c r="O246" s="117" t="s">
        <v>109</v>
      </c>
      <c r="P246" s="39" t="s">
        <v>193</v>
      </c>
      <c r="Q246" s="39">
        <v>7914991</v>
      </c>
      <c r="R246" s="39"/>
      <c r="S246" s="39" t="s">
        <v>198</v>
      </c>
      <c r="T246" s="39" t="s">
        <v>113</v>
      </c>
      <c r="U246" s="39"/>
      <c r="V246" s="118" t="s">
        <v>766</v>
      </c>
      <c r="W246" s="119">
        <v>138691.894</v>
      </c>
      <c r="X246" s="263"/>
      <c r="Y246" s="119">
        <v>124800</v>
      </c>
      <c r="Z246" s="235"/>
      <c r="AA246" s="61">
        <v>124800</v>
      </c>
      <c r="AB246" s="235"/>
      <c r="AC246" s="241">
        <v>124800</v>
      </c>
      <c r="AD246" s="235"/>
      <c r="AE246" s="235"/>
      <c r="AF246" s="120">
        <v>302</v>
      </c>
      <c r="AG246" s="241">
        <v>2900</v>
      </c>
      <c r="AH246" s="235"/>
      <c r="AI246" s="241">
        <v>2900</v>
      </c>
      <c r="AJ246" s="47">
        <f>AF246+AI246</f>
        <v>3202</v>
      </c>
      <c r="AK246" s="221">
        <v>50000</v>
      </c>
      <c r="AL246" s="47">
        <f t="shared" si="424"/>
        <v>50000</v>
      </c>
      <c r="AM246" s="43"/>
      <c r="AN246" s="65">
        <v>50000</v>
      </c>
      <c r="AO246" s="43"/>
      <c r="AP246" s="43"/>
      <c r="AQ246" s="47"/>
      <c r="AR246" s="48">
        <f t="shared" si="385"/>
        <v>71598</v>
      </c>
      <c r="AS246" s="49" t="e">
        <f>#REF!-AL246</f>
        <v>#REF!</v>
      </c>
    </row>
    <row r="247" spans="1:45" s="50" customFormat="1" ht="35.1" customHeight="1">
      <c r="B247" s="36" t="s">
        <v>51</v>
      </c>
      <c r="C247" s="340" t="s">
        <v>120</v>
      </c>
      <c r="D247" s="247">
        <f t="shared" ref="D247:M247" si="425">D248</f>
        <v>4</v>
      </c>
      <c r="E247" s="43">
        <f t="shared" si="425"/>
        <v>4</v>
      </c>
      <c r="F247" s="43">
        <f t="shared" si="425"/>
        <v>266100</v>
      </c>
      <c r="G247" s="43">
        <f t="shared" si="425"/>
        <v>0</v>
      </c>
      <c r="H247" s="43">
        <f t="shared" si="425"/>
        <v>0</v>
      </c>
      <c r="I247" s="43">
        <f t="shared" si="425"/>
        <v>0</v>
      </c>
      <c r="J247" s="43">
        <f t="shared" si="425"/>
        <v>0</v>
      </c>
      <c r="K247" s="43">
        <f t="shared" si="425"/>
        <v>0</v>
      </c>
      <c r="L247" s="43">
        <f t="shared" si="425"/>
        <v>4</v>
      </c>
      <c r="M247" s="43">
        <f t="shared" si="425"/>
        <v>0</v>
      </c>
      <c r="N247" s="39"/>
      <c r="O247" s="39"/>
      <c r="P247" s="39"/>
      <c r="Q247" s="39"/>
      <c r="R247" s="39"/>
      <c r="S247" s="39"/>
      <c r="T247" s="39"/>
      <c r="U247" s="39"/>
      <c r="V247" s="39"/>
      <c r="W247" s="43">
        <f t="shared" ref="W247" si="426">W248</f>
        <v>428151</v>
      </c>
      <c r="X247" s="235">
        <f t="shared" ref="X247" si="427">X248</f>
        <v>199500</v>
      </c>
      <c r="Y247" s="43">
        <f t="shared" ref="Y247" si="428">Y248</f>
        <v>388500</v>
      </c>
      <c r="Z247" s="235">
        <f t="shared" ref="Z247" si="429">Z248</f>
        <v>0</v>
      </c>
      <c r="AA247" s="43">
        <f t="shared" ref="AA247" si="430">AA248</f>
        <v>388500</v>
      </c>
      <c r="AB247" s="235">
        <f t="shared" ref="AB247" si="431">AB248</f>
        <v>0</v>
      </c>
      <c r="AC247" s="235">
        <f t="shared" ref="AC247" si="432">AC248</f>
        <v>253000</v>
      </c>
      <c r="AD247" s="235">
        <f t="shared" ref="AD247" si="433">AD248</f>
        <v>135500</v>
      </c>
      <c r="AE247" s="235">
        <f t="shared" ref="AE247" si="434">AE248</f>
        <v>0</v>
      </c>
      <c r="AF247" s="235">
        <f t="shared" ref="AF247" si="435">AF248</f>
        <v>0</v>
      </c>
      <c r="AG247" s="235">
        <f t="shared" ref="AG247" si="436">AG248</f>
        <v>0</v>
      </c>
      <c r="AH247" s="235">
        <f t="shared" ref="AH247" si="437">AH248</f>
        <v>0</v>
      </c>
      <c r="AI247" s="235">
        <f t="shared" ref="AI247:AJ247" si="438">AI248</f>
        <v>0</v>
      </c>
      <c r="AJ247" s="43">
        <f t="shared" si="438"/>
        <v>0</v>
      </c>
      <c r="AK247" s="235">
        <f t="shared" ref="AK247" si="439">AK248</f>
        <v>286100</v>
      </c>
      <c r="AL247" s="43">
        <f t="shared" ref="AL247" si="440">AL248</f>
        <v>266100</v>
      </c>
      <c r="AM247" s="43">
        <f t="shared" ref="AM247" si="441">AM248</f>
        <v>0</v>
      </c>
      <c r="AN247" s="43">
        <f t="shared" ref="AN247:AP247" si="442">AN248</f>
        <v>130600</v>
      </c>
      <c r="AO247" s="43">
        <f t="shared" si="442"/>
        <v>0</v>
      </c>
      <c r="AP247" s="43">
        <f t="shared" si="442"/>
        <v>135500</v>
      </c>
      <c r="AQ247" s="47"/>
      <c r="AR247" s="48">
        <f t="shared" si="385"/>
        <v>122400</v>
      </c>
      <c r="AS247" s="49" t="e">
        <f>#REF!-AL247</f>
        <v>#REF!</v>
      </c>
    </row>
    <row r="248" spans="1:45" s="133" customFormat="1" ht="21" customHeight="1">
      <c r="B248" s="129" t="s">
        <v>121</v>
      </c>
      <c r="C248" s="348" t="s">
        <v>107</v>
      </c>
      <c r="D248" s="439">
        <f t="shared" ref="D248:K248" si="443">D249+D251+D250+D252</f>
        <v>4</v>
      </c>
      <c r="E248" s="69">
        <f t="shared" si="443"/>
        <v>4</v>
      </c>
      <c r="F248" s="69">
        <f t="shared" si="443"/>
        <v>266100</v>
      </c>
      <c r="G248" s="69">
        <f t="shared" si="443"/>
        <v>0</v>
      </c>
      <c r="H248" s="69">
        <f t="shared" si="443"/>
        <v>0</v>
      </c>
      <c r="I248" s="69">
        <f t="shared" si="443"/>
        <v>0</v>
      </c>
      <c r="J248" s="69">
        <f t="shared" si="443"/>
        <v>0</v>
      </c>
      <c r="K248" s="69">
        <f t="shared" si="443"/>
        <v>0</v>
      </c>
      <c r="L248" s="69">
        <f t="shared" ref="L248:M248" si="444">L249+L251+L250+L252</f>
        <v>4</v>
      </c>
      <c r="M248" s="69">
        <f t="shared" si="444"/>
        <v>0</v>
      </c>
      <c r="N248" s="122"/>
      <c r="O248" s="122"/>
      <c r="P248" s="122"/>
      <c r="Q248" s="122"/>
      <c r="R248" s="122"/>
      <c r="S248" s="122"/>
      <c r="T248" s="122"/>
      <c r="U248" s="122"/>
      <c r="V248" s="122"/>
      <c r="W248" s="69">
        <f>W249+W251+W250+W252</f>
        <v>428151</v>
      </c>
      <c r="X248" s="236">
        <f t="shared" ref="X248:AP248" si="445">X249+X251+X250+X252</f>
        <v>199500</v>
      </c>
      <c r="Y248" s="69">
        <f t="shared" si="445"/>
        <v>388500</v>
      </c>
      <c r="Z248" s="236">
        <f t="shared" si="445"/>
        <v>0</v>
      </c>
      <c r="AA248" s="69">
        <f t="shared" si="445"/>
        <v>388500</v>
      </c>
      <c r="AB248" s="236">
        <f t="shared" si="445"/>
        <v>0</v>
      </c>
      <c r="AC248" s="236">
        <f t="shared" si="445"/>
        <v>253000</v>
      </c>
      <c r="AD248" s="236">
        <f t="shared" si="445"/>
        <v>135500</v>
      </c>
      <c r="AE248" s="236">
        <f t="shared" si="445"/>
        <v>0</v>
      </c>
      <c r="AF248" s="236">
        <f t="shared" si="445"/>
        <v>0</v>
      </c>
      <c r="AG248" s="236">
        <f t="shared" si="445"/>
        <v>0</v>
      </c>
      <c r="AH248" s="236">
        <f t="shared" si="445"/>
        <v>0</v>
      </c>
      <c r="AI248" s="236">
        <f t="shared" si="445"/>
        <v>0</v>
      </c>
      <c r="AJ248" s="69">
        <f t="shared" si="445"/>
        <v>0</v>
      </c>
      <c r="AK248" s="236">
        <f t="shared" si="445"/>
        <v>286100</v>
      </c>
      <c r="AL248" s="69">
        <f t="shared" si="445"/>
        <v>266100</v>
      </c>
      <c r="AM248" s="69">
        <f t="shared" si="445"/>
        <v>0</v>
      </c>
      <c r="AN248" s="69">
        <f t="shared" si="445"/>
        <v>130600</v>
      </c>
      <c r="AO248" s="69">
        <f t="shared" si="445"/>
        <v>0</v>
      </c>
      <c r="AP248" s="69">
        <f t="shared" si="445"/>
        <v>135500</v>
      </c>
      <c r="AQ248" s="130"/>
      <c r="AR248" s="131">
        <f t="shared" si="385"/>
        <v>122400</v>
      </c>
      <c r="AS248" s="132" t="e">
        <f>#REF!-AL248</f>
        <v>#REF!</v>
      </c>
    </row>
    <row r="249" spans="1:45" s="50" customFormat="1" ht="134.44999999999999" customHeight="1">
      <c r="A249" s="50" t="s">
        <v>104</v>
      </c>
      <c r="B249" s="237">
        <v>1</v>
      </c>
      <c r="C249" s="345" t="s">
        <v>764</v>
      </c>
      <c r="D249" s="93">
        <v>1</v>
      </c>
      <c r="E249" s="47">
        <v>1</v>
      </c>
      <c r="F249" s="119">
        <f>E249*AL249</f>
        <v>50600</v>
      </c>
      <c r="G249" s="47"/>
      <c r="H249" s="47"/>
      <c r="I249" s="47"/>
      <c r="J249" s="47"/>
      <c r="K249" s="47"/>
      <c r="L249" s="47">
        <v>1</v>
      </c>
      <c r="M249" s="88"/>
      <c r="N249" s="39" t="s">
        <v>854</v>
      </c>
      <c r="O249" s="39" t="s">
        <v>109</v>
      </c>
      <c r="P249" s="39" t="s">
        <v>223</v>
      </c>
      <c r="Q249" s="39">
        <v>7963837</v>
      </c>
      <c r="R249" s="39"/>
      <c r="S249" s="39"/>
      <c r="T249" s="39" t="s">
        <v>113</v>
      </c>
      <c r="U249" s="39"/>
      <c r="V249" s="39" t="s">
        <v>763</v>
      </c>
      <c r="W249" s="47">
        <v>63024</v>
      </c>
      <c r="X249" s="235"/>
      <c r="Y249" s="47">
        <v>57600</v>
      </c>
      <c r="Z249" s="235"/>
      <c r="AA249" s="47">
        <v>57600</v>
      </c>
      <c r="AB249" s="235"/>
      <c r="AC249" s="120">
        <v>57600</v>
      </c>
      <c r="AD249" s="235"/>
      <c r="AE249" s="235"/>
      <c r="AF249" s="235"/>
      <c r="AG249" s="235"/>
      <c r="AH249" s="235"/>
      <c r="AI249" s="235"/>
      <c r="AJ249" s="47">
        <f>AF249+AI249</f>
        <v>0</v>
      </c>
      <c r="AK249" s="120">
        <v>50600</v>
      </c>
      <c r="AL249" s="47">
        <f t="shared" ref="AL249:AL252" si="446">AM249+AN249+AO249</f>
        <v>50600</v>
      </c>
      <c r="AM249" s="43"/>
      <c r="AN249" s="47">
        <v>50600</v>
      </c>
      <c r="AO249" s="43"/>
      <c r="AP249" s="43"/>
      <c r="AQ249" s="47"/>
      <c r="AR249" s="48">
        <f t="shared" si="385"/>
        <v>7000</v>
      </c>
      <c r="AS249" s="49" t="e">
        <f>#REF!-AL249</f>
        <v>#REF!</v>
      </c>
    </row>
    <row r="250" spans="1:45" s="50" customFormat="1" ht="75.95" customHeight="1">
      <c r="A250" s="50" t="s">
        <v>749</v>
      </c>
      <c r="B250" s="237">
        <v>2</v>
      </c>
      <c r="C250" s="345" t="s">
        <v>672</v>
      </c>
      <c r="D250" s="93">
        <v>1</v>
      </c>
      <c r="E250" s="47">
        <v>1</v>
      </c>
      <c r="F250" s="119">
        <f>E250*AL250</f>
        <v>50000</v>
      </c>
      <c r="G250" s="47"/>
      <c r="H250" s="47"/>
      <c r="I250" s="47"/>
      <c r="J250" s="47"/>
      <c r="K250" s="47"/>
      <c r="L250" s="47">
        <v>1</v>
      </c>
      <c r="M250" s="88"/>
      <c r="N250" s="39" t="s">
        <v>111</v>
      </c>
      <c r="O250" s="39" t="s">
        <v>109</v>
      </c>
      <c r="P250" s="39" t="s">
        <v>193</v>
      </c>
      <c r="Q250" s="39"/>
      <c r="R250" s="39"/>
      <c r="S250" s="39"/>
      <c r="T250" s="39" t="s">
        <v>113</v>
      </c>
      <c r="U250" s="39"/>
      <c r="V250" s="39" t="s">
        <v>681</v>
      </c>
      <c r="W250" s="47">
        <v>85147</v>
      </c>
      <c r="X250" s="235"/>
      <c r="Y250" s="47">
        <v>76600</v>
      </c>
      <c r="Z250" s="235"/>
      <c r="AA250" s="68">
        <f t="shared" ref="AA250:AA252" si="447">AB250+AC250+AD250+AE250</f>
        <v>76600</v>
      </c>
      <c r="AB250" s="235"/>
      <c r="AC250" s="120">
        <v>76600</v>
      </c>
      <c r="AD250" s="235"/>
      <c r="AE250" s="235"/>
      <c r="AF250" s="235"/>
      <c r="AG250" s="235"/>
      <c r="AH250" s="235"/>
      <c r="AI250" s="235"/>
      <c r="AJ250" s="47"/>
      <c r="AK250" s="120">
        <v>50000</v>
      </c>
      <c r="AL250" s="47">
        <f t="shared" si="446"/>
        <v>50000</v>
      </c>
      <c r="AM250" s="43"/>
      <c r="AN250" s="47">
        <v>50000</v>
      </c>
      <c r="AO250" s="43"/>
      <c r="AP250" s="43"/>
      <c r="AQ250" s="45"/>
      <c r="AR250" s="48"/>
      <c r="AS250" s="49"/>
    </row>
    <row r="251" spans="1:45" s="50" customFormat="1" ht="68.45" customHeight="1">
      <c r="A251" s="50" t="s">
        <v>104</v>
      </c>
      <c r="B251" s="88">
        <v>3</v>
      </c>
      <c r="C251" s="345" t="s">
        <v>1036</v>
      </c>
      <c r="D251" s="93">
        <v>1</v>
      </c>
      <c r="E251" s="47">
        <v>1</v>
      </c>
      <c r="F251" s="119">
        <f>E251*AL251</f>
        <v>135500</v>
      </c>
      <c r="G251" s="47"/>
      <c r="H251" s="47"/>
      <c r="I251" s="47"/>
      <c r="J251" s="47"/>
      <c r="K251" s="47"/>
      <c r="L251" s="47">
        <v>1</v>
      </c>
      <c r="M251" s="88"/>
      <c r="N251" s="39" t="s">
        <v>582</v>
      </c>
      <c r="O251" s="39" t="s">
        <v>109</v>
      </c>
      <c r="P251" s="39" t="s">
        <v>193</v>
      </c>
      <c r="Q251" s="39"/>
      <c r="R251" s="39"/>
      <c r="S251" s="39"/>
      <c r="T251" s="39" t="s">
        <v>116</v>
      </c>
      <c r="U251" s="39"/>
      <c r="V251" s="39" t="s">
        <v>595</v>
      </c>
      <c r="W251" s="47">
        <v>171383</v>
      </c>
      <c r="X251" s="120">
        <v>135500</v>
      </c>
      <c r="Y251" s="47">
        <v>154200</v>
      </c>
      <c r="Z251" s="120">
        <v>0</v>
      </c>
      <c r="AA251" s="47">
        <f>AB251+AC251+AD251+AE251</f>
        <v>154200</v>
      </c>
      <c r="AB251" s="120">
        <v>0</v>
      </c>
      <c r="AC251" s="120">
        <v>18700</v>
      </c>
      <c r="AD251" s="120">
        <v>135500</v>
      </c>
      <c r="AE251" s="120">
        <v>0</v>
      </c>
      <c r="AF251" s="120">
        <v>0</v>
      </c>
      <c r="AG251" s="120">
        <v>0</v>
      </c>
      <c r="AH251" s="120">
        <v>0</v>
      </c>
      <c r="AI251" s="120"/>
      <c r="AJ251" s="47">
        <f>AF251+AI251</f>
        <v>0</v>
      </c>
      <c r="AK251" s="120">
        <v>135500</v>
      </c>
      <c r="AL251" s="47">
        <f>AM251+AN251+AO251+AP251</f>
        <v>135500</v>
      </c>
      <c r="AM251" s="47">
        <v>0</v>
      </c>
      <c r="AN251" s="47">
        <v>0</v>
      </c>
      <c r="AO251" s="47"/>
      <c r="AP251" s="47">
        <v>135500</v>
      </c>
      <c r="AQ251" s="47"/>
      <c r="AR251" s="48"/>
      <c r="AS251" s="49" t="e">
        <f>#REF!-AL251</f>
        <v>#REF!</v>
      </c>
    </row>
    <row r="252" spans="1:45" s="50" customFormat="1" ht="74.25" customHeight="1">
      <c r="A252" s="50" t="s">
        <v>749</v>
      </c>
      <c r="B252" s="88">
        <v>4</v>
      </c>
      <c r="C252" s="345" t="s">
        <v>682</v>
      </c>
      <c r="D252" s="93">
        <v>1</v>
      </c>
      <c r="E252" s="47">
        <v>1</v>
      </c>
      <c r="F252" s="119">
        <f>E252*AL252</f>
        <v>30000</v>
      </c>
      <c r="G252" s="47"/>
      <c r="H252" s="47"/>
      <c r="I252" s="47"/>
      <c r="J252" s="47"/>
      <c r="K252" s="47"/>
      <c r="L252" s="47">
        <v>1</v>
      </c>
      <c r="M252" s="88"/>
      <c r="N252" s="39" t="s">
        <v>683</v>
      </c>
      <c r="O252" s="39" t="s">
        <v>109</v>
      </c>
      <c r="P252" s="39" t="s">
        <v>193</v>
      </c>
      <c r="Q252" s="39"/>
      <c r="R252" s="39"/>
      <c r="S252" s="39"/>
      <c r="T252" s="39" t="s">
        <v>115</v>
      </c>
      <c r="U252" s="39" t="s">
        <v>574</v>
      </c>
      <c r="V252" s="39" t="s">
        <v>684</v>
      </c>
      <c r="W252" s="47">
        <v>108597</v>
      </c>
      <c r="X252" s="120">
        <v>64000</v>
      </c>
      <c r="Y252" s="47">
        <v>100100</v>
      </c>
      <c r="Z252" s="235"/>
      <c r="AA252" s="68">
        <f t="shared" si="447"/>
        <v>100100</v>
      </c>
      <c r="AB252" s="235"/>
      <c r="AC252" s="120">
        <v>100100</v>
      </c>
      <c r="AD252" s="120"/>
      <c r="AE252" s="235"/>
      <c r="AF252" s="235"/>
      <c r="AG252" s="235"/>
      <c r="AH252" s="235"/>
      <c r="AI252" s="120"/>
      <c r="AJ252" s="47"/>
      <c r="AK252" s="120">
        <v>50000</v>
      </c>
      <c r="AL252" s="47">
        <f t="shared" si="446"/>
        <v>30000</v>
      </c>
      <c r="AM252" s="43"/>
      <c r="AN252" s="47">
        <v>30000</v>
      </c>
      <c r="AO252" s="47"/>
      <c r="AP252" s="43"/>
      <c r="AQ252" s="45"/>
      <c r="AR252" s="48"/>
      <c r="AS252" s="49"/>
    </row>
    <row r="253" spans="1:45" s="50" customFormat="1" ht="18" customHeight="1">
      <c r="B253" s="80"/>
      <c r="C253" s="340"/>
      <c r="D253" s="247"/>
      <c r="E253" s="47"/>
      <c r="F253" s="47"/>
      <c r="G253" s="47"/>
      <c r="H253" s="47"/>
      <c r="I253" s="47"/>
      <c r="J253" s="47"/>
      <c r="K253" s="47"/>
      <c r="L253" s="47"/>
      <c r="M253" s="88"/>
      <c r="N253" s="39"/>
      <c r="O253" s="39"/>
      <c r="P253" s="39"/>
      <c r="Q253" s="39"/>
      <c r="R253" s="39"/>
      <c r="S253" s="39"/>
      <c r="T253" s="39"/>
      <c r="U253" s="39"/>
      <c r="V253" s="39"/>
      <c r="W253" s="43"/>
      <c r="X253" s="235"/>
      <c r="Y253" s="43"/>
      <c r="Z253" s="235"/>
      <c r="AA253" s="43"/>
      <c r="AB253" s="235"/>
      <c r="AC253" s="235"/>
      <c r="AD253" s="235"/>
      <c r="AE253" s="235"/>
      <c r="AF253" s="235"/>
      <c r="AG253" s="235"/>
      <c r="AH253" s="235"/>
      <c r="AI253" s="235"/>
      <c r="AJ253" s="43"/>
      <c r="AK253" s="235"/>
      <c r="AL253" s="43"/>
      <c r="AM253" s="43"/>
      <c r="AN253" s="43"/>
      <c r="AO253" s="43"/>
      <c r="AP253" s="43"/>
      <c r="AQ253" s="47"/>
      <c r="AR253" s="48"/>
      <c r="AS253" s="49" t="e">
        <f>#REF!-AL253</f>
        <v>#REF!</v>
      </c>
    </row>
    <row r="254" spans="1:45" s="50" customFormat="1" ht="18" customHeight="1">
      <c r="B254" s="36" t="s">
        <v>862</v>
      </c>
      <c r="C254" s="340" t="s">
        <v>84</v>
      </c>
      <c r="D254" s="247">
        <f t="shared" ref="D254:J254" si="448">D255+D258</f>
        <v>3</v>
      </c>
      <c r="E254" s="43">
        <f t="shared" si="448"/>
        <v>2</v>
      </c>
      <c r="F254" s="43">
        <f t="shared" si="448"/>
        <v>6280</v>
      </c>
      <c r="G254" s="43">
        <f t="shared" si="448"/>
        <v>1</v>
      </c>
      <c r="H254" s="43">
        <f t="shared" si="448"/>
        <v>18900</v>
      </c>
      <c r="I254" s="43">
        <f t="shared" si="448"/>
        <v>0</v>
      </c>
      <c r="J254" s="43">
        <f t="shared" si="448"/>
        <v>0</v>
      </c>
      <c r="K254" s="43">
        <f t="shared" ref="K254:AK254" si="449">K255+K258</f>
        <v>0</v>
      </c>
      <c r="L254" s="43">
        <f t="shared" si="449"/>
        <v>3</v>
      </c>
      <c r="M254" s="43">
        <f t="shared" si="449"/>
        <v>0</v>
      </c>
      <c r="N254" s="43">
        <f t="shared" si="449"/>
        <v>0</v>
      </c>
      <c r="O254" s="43">
        <f t="shared" si="449"/>
        <v>0</v>
      </c>
      <c r="P254" s="43">
        <f t="shared" si="449"/>
        <v>0</v>
      </c>
      <c r="Q254" s="43">
        <f t="shared" si="449"/>
        <v>0</v>
      </c>
      <c r="R254" s="43">
        <f t="shared" si="449"/>
        <v>0</v>
      </c>
      <c r="S254" s="43">
        <f t="shared" si="449"/>
        <v>0</v>
      </c>
      <c r="T254" s="43">
        <f t="shared" si="449"/>
        <v>0</v>
      </c>
      <c r="U254" s="43">
        <f t="shared" si="449"/>
        <v>0</v>
      </c>
      <c r="V254" s="43">
        <f t="shared" si="449"/>
        <v>0</v>
      </c>
      <c r="W254" s="43">
        <f t="shared" si="449"/>
        <v>96211.69200000001</v>
      </c>
      <c r="X254" s="43">
        <f t="shared" si="449"/>
        <v>27400</v>
      </c>
      <c r="Y254" s="43">
        <f t="shared" si="449"/>
        <v>86500</v>
      </c>
      <c r="Z254" s="43">
        <f t="shared" si="449"/>
        <v>360</v>
      </c>
      <c r="AA254" s="43">
        <f t="shared" si="449"/>
        <v>86500</v>
      </c>
      <c r="AB254" s="235">
        <f t="shared" si="449"/>
        <v>21800</v>
      </c>
      <c r="AC254" s="235">
        <f t="shared" si="449"/>
        <v>37300</v>
      </c>
      <c r="AD254" s="235">
        <f t="shared" si="449"/>
        <v>27400</v>
      </c>
      <c r="AE254" s="235">
        <f t="shared" si="449"/>
        <v>0</v>
      </c>
      <c r="AF254" s="235">
        <f t="shared" si="449"/>
        <v>624</v>
      </c>
      <c r="AG254" s="235">
        <f t="shared" si="449"/>
        <v>27400</v>
      </c>
      <c r="AH254" s="235">
        <f t="shared" si="449"/>
        <v>0</v>
      </c>
      <c r="AI254" s="235">
        <f t="shared" si="449"/>
        <v>29956</v>
      </c>
      <c r="AJ254" s="43">
        <f t="shared" si="449"/>
        <v>30700</v>
      </c>
      <c r="AK254" s="235">
        <f t="shared" si="449"/>
        <v>25180</v>
      </c>
      <c r="AL254" s="43">
        <f t="shared" ref="AL254" si="450">AL255+AL258</f>
        <v>25180</v>
      </c>
      <c r="AM254" s="43">
        <f t="shared" ref="AM254" si="451">AM255+AM258</f>
        <v>18900</v>
      </c>
      <c r="AN254" s="43">
        <f t="shared" ref="AN254" si="452">AN255+AN258</f>
        <v>6280</v>
      </c>
      <c r="AO254" s="43">
        <f t="shared" ref="AO254" si="453">AO255+AO258</f>
        <v>0</v>
      </c>
      <c r="AP254" s="43"/>
      <c r="AQ254" s="47"/>
      <c r="AR254" s="48">
        <f t="shared" ref="AR254:AR259" si="454">AA254-(AF254+AI254+AL254)</f>
        <v>30740</v>
      </c>
      <c r="AS254" s="49" t="e">
        <f>#REF!-AL254</f>
        <v>#REF!</v>
      </c>
    </row>
    <row r="255" spans="1:45" s="50" customFormat="1" ht="33.6" customHeight="1">
      <c r="B255" s="36" t="s">
        <v>50</v>
      </c>
      <c r="C255" s="340" t="s">
        <v>175</v>
      </c>
      <c r="D255" s="247">
        <f t="shared" ref="D255:R256" si="455">D256</f>
        <v>1</v>
      </c>
      <c r="E255" s="43">
        <f t="shared" si="455"/>
        <v>0</v>
      </c>
      <c r="F255" s="43">
        <f t="shared" si="455"/>
        <v>0</v>
      </c>
      <c r="G255" s="43">
        <f t="shared" si="455"/>
        <v>1</v>
      </c>
      <c r="H255" s="43">
        <f t="shared" si="455"/>
        <v>18900</v>
      </c>
      <c r="I255" s="43">
        <f t="shared" si="455"/>
        <v>0</v>
      </c>
      <c r="J255" s="43">
        <f t="shared" si="455"/>
        <v>0</v>
      </c>
      <c r="K255" s="43">
        <f t="shared" si="455"/>
        <v>0</v>
      </c>
      <c r="L255" s="43">
        <f t="shared" si="455"/>
        <v>1</v>
      </c>
      <c r="M255" s="43">
        <f t="shared" si="455"/>
        <v>0</v>
      </c>
      <c r="N255" s="43">
        <f t="shared" si="455"/>
        <v>0</v>
      </c>
      <c r="O255" s="43">
        <f t="shared" si="455"/>
        <v>0</v>
      </c>
      <c r="P255" s="43">
        <f t="shared" si="455"/>
        <v>0</v>
      </c>
      <c r="Q255" s="43">
        <f t="shared" si="455"/>
        <v>0</v>
      </c>
      <c r="R255" s="43">
        <f t="shared" si="455"/>
        <v>0</v>
      </c>
      <c r="S255" s="43">
        <f t="shared" ref="S255:AK255" si="456">S256</f>
        <v>0</v>
      </c>
      <c r="T255" s="43">
        <f t="shared" si="456"/>
        <v>0</v>
      </c>
      <c r="U255" s="43">
        <f t="shared" si="456"/>
        <v>0</v>
      </c>
      <c r="V255" s="43">
        <f t="shared" si="456"/>
        <v>0</v>
      </c>
      <c r="W255" s="43">
        <f t="shared" si="456"/>
        <v>55108</v>
      </c>
      <c r="X255" s="43">
        <f t="shared" si="456"/>
        <v>27400</v>
      </c>
      <c r="Y255" s="43">
        <f t="shared" si="456"/>
        <v>49200</v>
      </c>
      <c r="Z255" s="43">
        <f t="shared" si="456"/>
        <v>360</v>
      </c>
      <c r="AA255" s="43">
        <f t="shared" si="456"/>
        <v>49200</v>
      </c>
      <c r="AB255" s="235">
        <f t="shared" si="456"/>
        <v>21800</v>
      </c>
      <c r="AC255" s="235">
        <f t="shared" si="456"/>
        <v>0</v>
      </c>
      <c r="AD255" s="235">
        <f t="shared" si="456"/>
        <v>27400</v>
      </c>
      <c r="AE255" s="235">
        <f t="shared" si="456"/>
        <v>0</v>
      </c>
      <c r="AF255" s="235">
        <f t="shared" si="456"/>
        <v>624</v>
      </c>
      <c r="AG255" s="235">
        <f t="shared" si="456"/>
        <v>27400</v>
      </c>
      <c r="AH255" s="235">
        <f t="shared" si="456"/>
        <v>0</v>
      </c>
      <c r="AI255" s="235">
        <f t="shared" si="456"/>
        <v>29676</v>
      </c>
      <c r="AJ255" s="43">
        <f t="shared" si="456"/>
        <v>30300</v>
      </c>
      <c r="AK255" s="235">
        <f t="shared" si="456"/>
        <v>18900</v>
      </c>
      <c r="AL255" s="43">
        <f t="shared" ref="AL255:AL256" si="457">AL256</f>
        <v>18900</v>
      </c>
      <c r="AM255" s="43">
        <f t="shared" ref="AM255:AM256" si="458">AM256</f>
        <v>18900</v>
      </c>
      <c r="AN255" s="43">
        <f t="shared" ref="AN255:AN256" si="459">AN256</f>
        <v>0</v>
      </c>
      <c r="AO255" s="43">
        <f t="shared" ref="AO255:AO256" si="460">AO256</f>
        <v>0</v>
      </c>
      <c r="AP255" s="43"/>
      <c r="AQ255" s="47"/>
      <c r="AR255" s="48">
        <f t="shared" si="454"/>
        <v>0</v>
      </c>
      <c r="AS255" s="49" t="e">
        <f>#REF!-AL255</f>
        <v>#REF!</v>
      </c>
    </row>
    <row r="256" spans="1:45" s="133" customFormat="1" ht="23.1" customHeight="1">
      <c r="B256" s="129" t="s">
        <v>106</v>
      </c>
      <c r="C256" s="348" t="s">
        <v>107</v>
      </c>
      <c r="D256" s="439">
        <f t="shared" si="455"/>
        <v>1</v>
      </c>
      <c r="E256" s="69">
        <f t="shared" si="455"/>
        <v>0</v>
      </c>
      <c r="F256" s="69">
        <f t="shared" si="455"/>
        <v>0</v>
      </c>
      <c r="G256" s="69">
        <f t="shared" si="455"/>
        <v>1</v>
      </c>
      <c r="H256" s="69">
        <f t="shared" si="455"/>
        <v>18900</v>
      </c>
      <c r="I256" s="69">
        <f t="shared" si="455"/>
        <v>0</v>
      </c>
      <c r="J256" s="69">
        <f t="shared" si="455"/>
        <v>0</v>
      </c>
      <c r="K256" s="69">
        <f t="shared" si="455"/>
        <v>0</v>
      </c>
      <c r="L256" s="69">
        <f t="shared" si="455"/>
        <v>1</v>
      </c>
      <c r="M256" s="69">
        <f t="shared" si="455"/>
        <v>0</v>
      </c>
      <c r="N256" s="122"/>
      <c r="O256" s="122"/>
      <c r="P256" s="122"/>
      <c r="Q256" s="122"/>
      <c r="R256" s="122"/>
      <c r="S256" s="122"/>
      <c r="T256" s="122"/>
      <c r="U256" s="122"/>
      <c r="V256" s="122"/>
      <c r="W256" s="69">
        <f t="shared" ref="W256" si="461">W257</f>
        <v>55108</v>
      </c>
      <c r="X256" s="236">
        <f t="shared" ref="X256" si="462">X257</f>
        <v>27400</v>
      </c>
      <c r="Y256" s="69">
        <f t="shared" ref="Y256" si="463">Y257</f>
        <v>49200</v>
      </c>
      <c r="Z256" s="236">
        <f t="shared" ref="Z256" si="464">Z257</f>
        <v>360</v>
      </c>
      <c r="AA256" s="69">
        <f t="shared" ref="AA256" si="465">AA257</f>
        <v>49200</v>
      </c>
      <c r="AB256" s="236">
        <f t="shared" ref="AB256" si="466">AB257</f>
        <v>21800</v>
      </c>
      <c r="AC256" s="236">
        <f t="shared" ref="AC256" si="467">AC257</f>
        <v>0</v>
      </c>
      <c r="AD256" s="236">
        <f t="shared" ref="AD256" si="468">AD257</f>
        <v>27400</v>
      </c>
      <c r="AE256" s="236">
        <f t="shared" ref="AE256" si="469">AE257</f>
        <v>0</v>
      </c>
      <c r="AF256" s="236">
        <f t="shared" ref="AF256" si="470">AF257</f>
        <v>624</v>
      </c>
      <c r="AG256" s="236">
        <f t="shared" ref="AG256" si="471">AG257</f>
        <v>27400</v>
      </c>
      <c r="AH256" s="236">
        <f t="shared" ref="AH256" si="472">AH257</f>
        <v>0</v>
      </c>
      <c r="AI256" s="236">
        <f t="shared" ref="AI256:AJ256" si="473">AI257</f>
        <v>29676</v>
      </c>
      <c r="AJ256" s="69">
        <f t="shared" si="473"/>
        <v>30300</v>
      </c>
      <c r="AK256" s="236">
        <f t="shared" ref="AK256" si="474">AK257</f>
        <v>18900</v>
      </c>
      <c r="AL256" s="69">
        <f t="shared" si="457"/>
        <v>18900</v>
      </c>
      <c r="AM256" s="69">
        <f t="shared" si="458"/>
        <v>18900</v>
      </c>
      <c r="AN256" s="69">
        <f t="shared" si="459"/>
        <v>0</v>
      </c>
      <c r="AO256" s="69">
        <f t="shared" si="460"/>
        <v>0</v>
      </c>
      <c r="AP256" s="69"/>
      <c r="AQ256" s="130"/>
      <c r="AR256" s="131">
        <f t="shared" si="454"/>
        <v>0</v>
      </c>
      <c r="AS256" s="132" t="e">
        <f>#REF!-AL256</f>
        <v>#REF!</v>
      </c>
    </row>
    <row r="257" spans="1:45" s="50" customFormat="1" ht="123.6" customHeight="1">
      <c r="B257" s="237">
        <v>1</v>
      </c>
      <c r="C257" s="345" t="s">
        <v>768</v>
      </c>
      <c r="D257" s="93">
        <v>1</v>
      </c>
      <c r="E257" s="47"/>
      <c r="F257" s="47"/>
      <c r="G257" s="47">
        <v>1</v>
      </c>
      <c r="H257" s="47">
        <f>G257*AL257</f>
        <v>18900</v>
      </c>
      <c r="I257" s="47"/>
      <c r="J257" s="47"/>
      <c r="K257" s="47"/>
      <c r="L257" s="43">
        <v>1</v>
      </c>
      <c r="M257" s="88"/>
      <c r="N257" s="39" t="s">
        <v>108</v>
      </c>
      <c r="O257" s="39" t="s">
        <v>109</v>
      </c>
      <c r="P257" s="39" t="s">
        <v>110</v>
      </c>
      <c r="Q257" s="39">
        <v>7670277</v>
      </c>
      <c r="R257" s="39"/>
      <c r="S257" s="39"/>
      <c r="T257" s="90" t="s">
        <v>863</v>
      </c>
      <c r="U257" s="90"/>
      <c r="V257" s="90" t="s">
        <v>978</v>
      </c>
      <c r="W257" s="58">
        <v>55108</v>
      </c>
      <c r="X257" s="264">
        <v>27400</v>
      </c>
      <c r="Y257" s="58">
        <v>49200</v>
      </c>
      <c r="Z257" s="264">
        <v>360</v>
      </c>
      <c r="AA257" s="47">
        <f>AB257+AC257+AD257+AE257</f>
        <v>49200</v>
      </c>
      <c r="AB257" s="120">
        <v>21800</v>
      </c>
      <c r="AC257" s="120"/>
      <c r="AD257" s="120">
        <v>27400</v>
      </c>
      <c r="AE257" s="120"/>
      <c r="AF257" s="120">
        <v>624</v>
      </c>
      <c r="AG257" s="120">
        <v>27400</v>
      </c>
      <c r="AH257" s="120"/>
      <c r="AI257" s="120">
        <f>27400+2276</f>
        <v>29676</v>
      </c>
      <c r="AJ257" s="47">
        <f>AF257+AI257</f>
        <v>30300</v>
      </c>
      <c r="AK257" s="120">
        <f>21800-2900</f>
        <v>18900</v>
      </c>
      <c r="AL257" s="47">
        <f t="shared" ref="AL257" si="475">AM257+AN257+AO257</f>
        <v>18900</v>
      </c>
      <c r="AM257" s="47">
        <v>18900</v>
      </c>
      <c r="AN257" s="43"/>
      <c r="AO257" s="43"/>
      <c r="AP257" s="43"/>
      <c r="AQ257" s="251"/>
      <c r="AR257" s="48">
        <f t="shared" si="454"/>
        <v>0</v>
      </c>
      <c r="AS257" s="49" t="e">
        <f>#REF!-AL257</f>
        <v>#REF!</v>
      </c>
    </row>
    <row r="258" spans="1:45" s="50" customFormat="1" ht="42.95" customHeight="1">
      <c r="B258" s="36" t="s">
        <v>51</v>
      </c>
      <c r="C258" s="340" t="s">
        <v>120</v>
      </c>
      <c r="D258" s="247">
        <f t="shared" ref="D258:M258" si="476">D259+D260</f>
        <v>2</v>
      </c>
      <c r="E258" s="43">
        <f t="shared" si="476"/>
        <v>2</v>
      </c>
      <c r="F258" s="43">
        <f t="shared" si="476"/>
        <v>6280</v>
      </c>
      <c r="G258" s="43">
        <f t="shared" si="476"/>
        <v>0</v>
      </c>
      <c r="H258" s="43">
        <f t="shared" si="476"/>
        <v>0</v>
      </c>
      <c r="I258" s="43">
        <f t="shared" si="476"/>
        <v>0</v>
      </c>
      <c r="J258" s="43">
        <f t="shared" si="476"/>
        <v>0</v>
      </c>
      <c r="K258" s="43">
        <f t="shared" si="476"/>
        <v>0</v>
      </c>
      <c r="L258" s="43">
        <f t="shared" si="476"/>
        <v>2</v>
      </c>
      <c r="M258" s="43">
        <f t="shared" si="476"/>
        <v>0</v>
      </c>
      <c r="N258" s="39"/>
      <c r="O258" s="39"/>
      <c r="P258" s="39"/>
      <c r="Q258" s="39"/>
      <c r="R258" s="39"/>
      <c r="S258" s="39"/>
      <c r="T258" s="39"/>
      <c r="U258" s="39"/>
      <c r="V258" s="39"/>
      <c r="W258" s="43">
        <f>W259+W260</f>
        <v>41103.692000000003</v>
      </c>
      <c r="X258" s="235">
        <f t="shared" ref="X258" si="477">SUM(X259:X259)</f>
        <v>0</v>
      </c>
      <c r="Y258" s="43">
        <f t="shared" ref="Y258:AP258" si="478">Y259+Y260</f>
        <v>37300</v>
      </c>
      <c r="Z258" s="235">
        <f t="shared" si="478"/>
        <v>0</v>
      </c>
      <c r="AA258" s="43">
        <f t="shared" si="478"/>
        <v>37300</v>
      </c>
      <c r="AB258" s="235">
        <f t="shared" si="478"/>
        <v>0</v>
      </c>
      <c r="AC258" s="235">
        <f t="shared" si="478"/>
        <v>37300</v>
      </c>
      <c r="AD258" s="235">
        <f t="shared" si="478"/>
        <v>0</v>
      </c>
      <c r="AE258" s="235">
        <f t="shared" si="478"/>
        <v>0</v>
      </c>
      <c r="AF258" s="235">
        <f t="shared" si="478"/>
        <v>0</v>
      </c>
      <c r="AG258" s="235">
        <f t="shared" si="478"/>
        <v>0</v>
      </c>
      <c r="AH258" s="235">
        <f t="shared" si="478"/>
        <v>0</v>
      </c>
      <c r="AI258" s="235">
        <f t="shared" si="478"/>
        <v>280</v>
      </c>
      <c r="AJ258" s="43">
        <f t="shared" si="478"/>
        <v>400</v>
      </c>
      <c r="AK258" s="235">
        <f t="shared" si="478"/>
        <v>6280</v>
      </c>
      <c r="AL258" s="43">
        <f t="shared" si="478"/>
        <v>6280</v>
      </c>
      <c r="AM258" s="43">
        <f t="shared" si="478"/>
        <v>0</v>
      </c>
      <c r="AN258" s="43">
        <f t="shared" si="478"/>
        <v>6280</v>
      </c>
      <c r="AO258" s="43">
        <f t="shared" si="478"/>
        <v>0</v>
      </c>
      <c r="AP258" s="43">
        <f t="shared" si="478"/>
        <v>0</v>
      </c>
      <c r="AQ258" s="47"/>
      <c r="AR258" s="48">
        <f t="shared" si="454"/>
        <v>30740</v>
      </c>
      <c r="AS258" s="49" t="e">
        <f>#REF!-AL258</f>
        <v>#REF!</v>
      </c>
    </row>
    <row r="259" spans="1:45" s="50" customFormat="1" ht="57.95" customHeight="1">
      <c r="A259" s="50" t="s">
        <v>749</v>
      </c>
      <c r="B259" s="237">
        <v>1</v>
      </c>
      <c r="C259" s="345" t="s">
        <v>638</v>
      </c>
      <c r="D259" s="93">
        <v>1</v>
      </c>
      <c r="E259" s="47">
        <v>1</v>
      </c>
      <c r="F259" s="119">
        <f>E259*AL259</f>
        <v>1280</v>
      </c>
      <c r="G259" s="47"/>
      <c r="H259" s="47"/>
      <c r="I259" s="47"/>
      <c r="J259" s="47"/>
      <c r="K259" s="47"/>
      <c r="L259" s="47">
        <v>1</v>
      </c>
      <c r="M259" s="88"/>
      <c r="N259" s="90" t="s">
        <v>111</v>
      </c>
      <c r="O259" s="39" t="s">
        <v>109</v>
      </c>
      <c r="P259" s="39" t="s">
        <v>521</v>
      </c>
      <c r="Q259" s="121" t="s">
        <v>520</v>
      </c>
      <c r="R259" s="39"/>
      <c r="S259" s="39"/>
      <c r="T259" s="90" t="s">
        <v>116</v>
      </c>
      <c r="U259" s="90" t="s">
        <v>580</v>
      </c>
      <c r="V259" s="90" t="s">
        <v>639</v>
      </c>
      <c r="W259" s="62">
        <v>1402</v>
      </c>
      <c r="X259" s="265"/>
      <c r="Y259" s="62">
        <v>1400</v>
      </c>
      <c r="Z259" s="235"/>
      <c r="AA259" s="266">
        <f>AB259+AC259+AD259+AE259</f>
        <v>1400</v>
      </c>
      <c r="AB259" s="235"/>
      <c r="AC259" s="265">
        <v>1400</v>
      </c>
      <c r="AD259" s="235"/>
      <c r="AE259" s="235"/>
      <c r="AF259" s="235"/>
      <c r="AG259" s="235"/>
      <c r="AH259" s="235"/>
      <c r="AI259" s="235"/>
      <c r="AJ259" s="47">
        <v>120</v>
      </c>
      <c r="AK259" s="265">
        <v>1280</v>
      </c>
      <c r="AL259" s="47">
        <f>AM259+AN259+AO259+AP259</f>
        <v>1280</v>
      </c>
      <c r="AM259" s="43"/>
      <c r="AN259" s="62">
        <v>1280</v>
      </c>
      <c r="AO259" s="43"/>
      <c r="AP259" s="43"/>
      <c r="AQ259" s="119"/>
      <c r="AR259" s="48">
        <f t="shared" si="454"/>
        <v>120</v>
      </c>
      <c r="AS259" s="49" t="e">
        <f>#REF!-AL259</f>
        <v>#REF!</v>
      </c>
    </row>
    <row r="260" spans="1:45" s="267" customFormat="1" ht="70.5" customHeight="1">
      <c r="A260" s="267" t="s">
        <v>749</v>
      </c>
      <c r="B260" s="268">
        <v>2</v>
      </c>
      <c r="C260" s="353" t="s">
        <v>643</v>
      </c>
      <c r="D260" s="443">
        <v>1</v>
      </c>
      <c r="E260" s="266">
        <v>1</v>
      </c>
      <c r="F260" s="119">
        <f>E260*AL260</f>
        <v>5000</v>
      </c>
      <c r="G260" s="266"/>
      <c r="H260" s="266"/>
      <c r="I260" s="266"/>
      <c r="J260" s="266"/>
      <c r="K260" s="266"/>
      <c r="L260" s="266">
        <v>1</v>
      </c>
      <c r="M260" s="268"/>
      <c r="N260" s="270" t="s">
        <v>641</v>
      </c>
      <c r="O260" s="270" t="s">
        <v>109</v>
      </c>
      <c r="P260" s="270" t="s">
        <v>521</v>
      </c>
      <c r="Q260" s="270" t="s">
        <v>642</v>
      </c>
      <c r="R260" s="270"/>
      <c r="S260" s="270"/>
      <c r="T260" s="270" t="s">
        <v>115</v>
      </c>
      <c r="U260" s="270"/>
      <c r="V260" s="270" t="s">
        <v>644</v>
      </c>
      <c r="W260" s="266">
        <v>39701.692000000003</v>
      </c>
      <c r="X260" s="235"/>
      <c r="Y260" s="266">
        <v>35900</v>
      </c>
      <c r="Z260" s="235"/>
      <c r="AA260" s="266">
        <f>AB260+AC260+AD260+AE260</f>
        <v>35900</v>
      </c>
      <c r="AB260" s="235"/>
      <c r="AC260" s="120">
        <v>35900</v>
      </c>
      <c r="AD260" s="235"/>
      <c r="AE260" s="235"/>
      <c r="AF260" s="235"/>
      <c r="AG260" s="235"/>
      <c r="AH260" s="235"/>
      <c r="AI260" s="120">
        <v>280</v>
      </c>
      <c r="AJ260" s="266">
        <f>AF260+AI260</f>
        <v>280</v>
      </c>
      <c r="AK260" s="120">
        <v>5000</v>
      </c>
      <c r="AL260" s="47">
        <f>AM260+AN260+AO260+AP260</f>
        <v>5000</v>
      </c>
      <c r="AM260" s="271"/>
      <c r="AN260" s="266">
        <v>5000</v>
      </c>
      <c r="AO260" s="271"/>
      <c r="AP260" s="271"/>
      <c r="AQ260" s="269"/>
      <c r="AR260" s="272" t="e">
        <f>#REF!-AL260</f>
        <v>#REF!</v>
      </c>
    </row>
    <row r="261" spans="1:45" s="50" customFormat="1" ht="18" customHeight="1">
      <c r="B261" s="80"/>
      <c r="C261" s="340"/>
      <c r="D261" s="247"/>
      <c r="E261" s="47"/>
      <c r="F261" s="47"/>
      <c r="G261" s="47"/>
      <c r="H261" s="47"/>
      <c r="I261" s="47"/>
      <c r="J261" s="47"/>
      <c r="K261" s="47"/>
      <c r="L261" s="47"/>
      <c r="M261" s="88"/>
      <c r="N261" s="39"/>
      <c r="O261" s="39"/>
      <c r="P261" s="39"/>
      <c r="Q261" s="39"/>
      <c r="R261" s="39"/>
      <c r="S261" s="39"/>
      <c r="T261" s="39"/>
      <c r="U261" s="39"/>
      <c r="V261" s="39"/>
      <c r="W261" s="43"/>
      <c r="X261" s="235"/>
      <c r="Y261" s="43"/>
      <c r="Z261" s="235"/>
      <c r="AA261" s="43"/>
      <c r="AB261" s="235"/>
      <c r="AC261" s="235"/>
      <c r="AD261" s="235"/>
      <c r="AE261" s="235"/>
      <c r="AF261" s="235"/>
      <c r="AG261" s="235"/>
      <c r="AH261" s="235"/>
      <c r="AI261" s="235"/>
      <c r="AJ261" s="43"/>
      <c r="AK261" s="235"/>
      <c r="AL261" s="43"/>
      <c r="AM261" s="43"/>
      <c r="AN261" s="43"/>
      <c r="AO261" s="43"/>
      <c r="AP261" s="43"/>
      <c r="AQ261" s="47"/>
      <c r="AR261" s="48">
        <f t="shared" ref="AR261:AR267" si="479">AA261-(AF261+AI261+AL261)</f>
        <v>0</v>
      </c>
      <c r="AS261" s="49" t="e">
        <f>#REF!-AL261</f>
        <v>#REF!</v>
      </c>
    </row>
    <row r="262" spans="1:45" s="50" customFormat="1" ht="33.950000000000003" customHeight="1">
      <c r="B262" s="36" t="s">
        <v>864</v>
      </c>
      <c r="C262" s="347" t="s">
        <v>61</v>
      </c>
      <c r="D262" s="247">
        <f t="shared" ref="D262:D264" si="480">D263</f>
        <v>1</v>
      </c>
      <c r="E262" s="43">
        <f t="shared" ref="E262:E264" si="481">E263</f>
        <v>0</v>
      </c>
      <c r="F262" s="43">
        <f t="shared" ref="F262:F264" si="482">F263</f>
        <v>0</v>
      </c>
      <c r="G262" s="43">
        <f t="shared" ref="G262:G264" si="483">G263</f>
        <v>0</v>
      </c>
      <c r="H262" s="43">
        <f t="shared" ref="H262:H264" si="484">H263</f>
        <v>0</v>
      </c>
      <c r="I262" s="43">
        <f t="shared" ref="I262:I264" si="485">I263</f>
        <v>1</v>
      </c>
      <c r="J262" s="43">
        <f t="shared" ref="J262:J264" si="486">J263</f>
        <v>18500</v>
      </c>
      <c r="K262" s="43">
        <f t="shared" ref="K262:M264" si="487">K263</f>
        <v>0</v>
      </c>
      <c r="L262" s="43">
        <f t="shared" si="487"/>
        <v>1</v>
      </c>
      <c r="M262" s="246">
        <f t="shared" si="487"/>
        <v>0</v>
      </c>
      <c r="N262" s="39"/>
      <c r="O262" s="39"/>
      <c r="P262" s="39"/>
      <c r="Q262" s="39"/>
      <c r="R262" s="39"/>
      <c r="S262" s="39"/>
      <c r="T262" s="39"/>
      <c r="U262" s="39"/>
      <c r="V262" s="39"/>
      <c r="W262" s="43">
        <f t="shared" ref="W262:W264" si="488">W263</f>
        <v>57112</v>
      </c>
      <c r="X262" s="235">
        <f t="shared" ref="X262:X264" si="489">X263</f>
        <v>0</v>
      </c>
      <c r="Y262" s="43">
        <f t="shared" ref="Y262:Y264" si="490">Y263</f>
        <v>33500</v>
      </c>
      <c r="Z262" s="235">
        <f t="shared" ref="Z262:Z264" si="491">Z263</f>
        <v>0</v>
      </c>
      <c r="AA262" s="43">
        <f t="shared" ref="AA262:AA264" si="492">AA263</f>
        <v>33500</v>
      </c>
      <c r="AB262" s="235">
        <f t="shared" ref="AB262:AB264" si="493">AB263</f>
        <v>33500</v>
      </c>
      <c r="AC262" s="235">
        <f t="shared" ref="AC262:AC264" si="494">AC263</f>
        <v>0</v>
      </c>
      <c r="AD262" s="235">
        <f t="shared" ref="AD262:AD264" si="495">AD263</f>
        <v>0</v>
      </c>
      <c r="AE262" s="235">
        <f t="shared" ref="AE262:AE264" si="496">AE263</f>
        <v>0</v>
      </c>
      <c r="AF262" s="235">
        <f t="shared" ref="AF262:AF264" si="497">AF263</f>
        <v>0</v>
      </c>
      <c r="AG262" s="235">
        <f t="shared" ref="AG262:AG264" si="498">AG263</f>
        <v>15000</v>
      </c>
      <c r="AH262" s="235">
        <f t="shared" ref="AH262:AH264" si="499">AH263</f>
        <v>0</v>
      </c>
      <c r="AI262" s="235">
        <f t="shared" ref="AI262:AJ264" si="500">AI263</f>
        <v>15000</v>
      </c>
      <c r="AJ262" s="43">
        <f t="shared" si="500"/>
        <v>15000</v>
      </c>
      <c r="AK262" s="235">
        <f t="shared" ref="AK262:AK264" si="501">AK263</f>
        <v>18500</v>
      </c>
      <c r="AL262" s="43">
        <f t="shared" ref="AL262:AL264" si="502">AL263</f>
        <v>18500</v>
      </c>
      <c r="AM262" s="43">
        <f t="shared" ref="AM262:AM264" si="503">AM263</f>
        <v>18500</v>
      </c>
      <c r="AN262" s="43">
        <f t="shared" ref="AN262:AN264" si="504">AN263</f>
        <v>0</v>
      </c>
      <c r="AO262" s="43">
        <f t="shared" ref="AO262:AO264" si="505">AO263</f>
        <v>0</v>
      </c>
      <c r="AP262" s="43"/>
      <c r="AQ262" s="47"/>
      <c r="AR262" s="48">
        <f t="shared" si="479"/>
        <v>0</v>
      </c>
      <c r="AS262" s="49" t="e">
        <f>#REF!-AL262</f>
        <v>#REF!</v>
      </c>
    </row>
    <row r="263" spans="1:45" s="50" customFormat="1" ht="36.6" customHeight="1">
      <c r="B263" s="36" t="s">
        <v>50</v>
      </c>
      <c r="C263" s="340" t="s">
        <v>174</v>
      </c>
      <c r="D263" s="247">
        <f t="shared" si="480"/>
        <v>1</v>
      </c>
      <c r="E263" s="43">
        <f t="shared" si="481"/>
        <v>0</v>
      </c>
      <c r="F263" s="43">
        <f t="shared" si="482"/>
        <v>0</v>
      </c>
      <c r="G263" s="43">
        <f t="shared" si="483"/>
        <v>0</v>
      </c>
      <c r="H263" s="43">
        <f t="shared" si="484"/>
        <v>0</v>
      </c>
      <c r="I263" s="43">
        <f t="shared" si="485"/>
        <v>1</v>
      </c>
      <c r="J263" s="43">
        <f t="shared" si="486"/>
        <v>18500</v>
      </c>
      <c r="K263" s="43">
        <f t="shared" si="487"/>
        <v>0</v>
      </c>
      <c r="L263" s="43">
        <f t="shared" si="487"/>
        <v>1</v>
      </c>
      <c r="M263" s="246">
        <f t="shared" si="487"/>
        <v>0</v>
      </c>
      <c r="N263" s="39"/>
      <c r="O263" s="39"/>
      <c r="P263" s="39"/>
      <c r="Q263" s="39"/>
      <c r="R263" s="39"/>
      <c r="S263" s="39"/>
      <c r="T263" s="39"/>
      <c r="U263" s="39"/>
      <c r="V263" s="39"/>
      <c r="W263" s="43">
        <f t="shared" si="488"/>
        <v>57112</v>
      </c>
      <c r="X263" s="235">
        <f t="shared" si="489"/>
        <v>0</v>
      </c>
      <c r="Y263" s="43">
        <f t="shared" si="490"/>
        <v>33500</v>
      </c>
      <c r="Z263" s="235">
        <f t="shared" si="491"/>
        <v>0</v>
      </c>
      <c r="AA263" s="43">
        <f t="shared" si="492"/>
        <v>33500</v>
      </c>
      <c r="AB263" s="235">
        <f t="shared" si="493"/>
        <v>33500</v>
      </c>
      <c r="AC263" s="235">
        <f t="shared" si="494"/>
        <v>0</v>
      </c>
      <c r="AD263" s="235">
        <f t="shared" si="495"/>
        <v>0</v>
      </c>
      <c r="AE263" s="235">
        <f t="shared" si="496"/>
        <v>0</v>
      </c>
      <c r="AF263" s="235">
        <f t="shared" si="497"/>
        <v>0</v>
      </c>
      <c r="AG263" s="235">
        <f t="shared" si="498"/>
        <v>15000</v>
      </c>
      <c r="AH263" s="235">
        <f t="shared" si="499"/>
        <v>0</v>
      </c>
      <c r="AI263" s="235">
        <f t="shared" si="500"/>
        <v>15000</v>
      </c>
      <c r="AJ263" s="43">
        <f t="shared" si="500"/>
        <v>15000</v>
      </c>
      <c r="AK263" s="235">
        <f t="shared" si="501"/>
        <v>18500</v>
      </c>
      <c r="AL263" s="43">
        <f t="shared" si="502"/>
        <v>18500</v>
      </c>
      <c r="AM263" s="43">
        <f t="shared" si="503"/>
        <v>18500</v>
      </c>
      <c r="AN263" s="43">
        <f t="shared" si="504"/>
        <v>0</v>
      </c>
      <c r="AO263" s="43">
        <f t="shared" si="505"/>
        <v>0</v>
      </c>
      <c r="AP263" s="43"/>
      <c r="AQ263" s="47"/>
      <c r="AR263" s="48">
        <f t="shared" si="479"/>
        <v>0</v>
      </c>
      <c r="AS263" s="49" t="e">
        <f>#REF!-AL263</f>
        <v>#REF!</v>
      </c>
    </row>
    <row r="264" spans="1:45" s="133" customFormat="1" ht="27" customHeight="1">
      <c r="B264" s="129" t="s">
        <v>106</v>
      </c>
      <c r="C264" s="348" t="s">
        <v>107</v>
      </c>
      <c r="D264" s="439">
        <f t="shared" si="480"/>
        <v>1</v>
      </c>
      <c r="E264" s="69">
        <f t="shared" si="481"/>
        <v>0</v>
      </c>
      <c r="F264" s="69">
        <f t="shared" si="482"/>
        <v>0</v>
      </c>
      <c r="G264" s="69">
        <f t="shared" si="483"/>
        <v>0</v>
      </c>
      <c r="H264" s="69">
        <f t="shared" si="484"/>
        <v>0</v>
      </c>
      <c r="I264" s="69">
        <f t="shared" si="485"/>
        <v>1</v>
      </c>
      <c r="J264" s="69">
        <f t="shared" si="486"/>
        <v>18500</v>
      </c>
      <c r="K264" s="69">
        <f t="shared" si="487"/>
        <v>0</v>
      </c>
      <c r="L264" s="69">
        <f t="shared" si="487"/>
        <v>1</v>
      </c>
      <c r="M264" s="273">
        <f t="shared" si="487"/>
        <v>0</v>
      </c>
      <c r="N264" s="122"/>
      <c r="O264" s="122"/>
      <c r="P264" s="122"/>
      <c r="Q264" s="122"/>
      <c r="R264" s="122"/>
      <c r="S264" s="122"/>
      <c r="T264" s="122"/>
      <c r="U264" s="122"/>
      <c r="V264" s="122"/>
      <c r="W264" s="69">
        <f t="shared" si="488"/>
        <v>57112</v>
      </c>
      <c r="X264" s="236">
        <f t="shared" si="489"/>
        <v>0</v>
      </c>
      <c r="Y264" s="69">
        <f t="shared" si="490"/>
        <v>33500</v>
      </c>
      <c r="Z264" s="236">
        <f t="shared" si="491"/>
        <v>0</v>
      </c>
      <c r="AA264" s="69">
        <f t="shared" si="492"/>
        <v>33500</v>
      </c>
      <c r="AB264" s="236">
        <f t="shared" si="493"/>
        <v>33500</v>
      </c>
      <c r="AC264" s="236">
        <f t="shared" si="494"/>
        <v>0</v>
      </c>
      <c r="AD264" s="236">
        <f t="shared" si="495"/>
        <v>0</v>
      </c>
      <c r="AE264" s="236">
        <f t="shared" si="496"/>
        <v>0</v>
      </c>
      <c r="AF264" s="236">
        <f t="shared" si="497"/>
        <v>0</v>
      </c>
      <c r="AG264" s="236">
        <f t="shared" si="498"/>
        <v>15000</v>
      </c>
      <c r="AH264" s="236">
        <f t="shared" si="499"/>
        <v>0</v>
      </c>
      <c r="AI264" s="236">
        <f t="shared" si="500"/>
        <v>15000</v>
      </c>
      <c r="AJ264" s="69">
        <f t="shared" si="500"/>
        <v>15000</v>
      </c>
      <c r="AK264" s="236">
        <f t="shared" si="501"/>
        <v>18500</v>
      </c>
      <c r="AL264" s="69">
        <f t="shared" si="502"/>
        <v>18500</v>
      </c>
      <c r="AM264" s="69">
        <f t="shared" si="503"/>
        <v>18500</v>
      </c>
      <c r="AN264" s="69">
        <f t="shared" si="504"/>
        <v>0</v>
      </c>
      <c r="AO264" s="69">
        <f t="shared" si="505"/>
        <v>0</v>
      </c>
      <c r="AP264" s="69"/>
      <c r="AQ264" s="130"/>
      <c r="AR264" s="131">
        <f t="shared" si="479"/>
        <v>0</v>
      </c>
      <c r="AS264" s="132" t="e">
        <f>#REF!-AL264</f>
        <v>#REF!</v>
      </c>
    </row>
    <row r="265" spans="1:45" s="50" customFormat="1" ht="86.25" customHeight="1">
      <c r="A265" s="50" t="s">
        <v>749</v>
      </c>
      <c r="B265" s="237">
        <v>1</v>
      </c>
      <c r="C265" s="345" t="s">
        <v>646</v>
      </c>
      <c r="D265" s="93">
        <v>1</v>
      </c>
      <c r="E265" s="47"/>
      <c r="F265" s="47"/>
      <c r="G265" s="47"/>
      <c r="H265" s="47"/>
      <c r="I265" s="47">
        <v>1</v>
      </c>
      <c r="J265" s="47">
        <f>I265*AL265</f>
        <v>18500</v>
      </c>
      <c r="K265" s="47"/>
      <c r="L265" s="47">
        <v>1</v>
      </c>
      <c r="M265" s="88"/>
      <c r="N265" s="39" t="s">
        <v>111</v>
      </c>
      <c r="O265" s="39" t="s">
        <v>109</v>
      </c>
      <c r="P265" s="39" t="s">
        <v>40</v>
      </c>
      <c r="Q265" s="39">
        <v>7888543</v>
      </c>
      <c r="R265" s="39"/>
      <c r="S265" s="39" t="s">
        <v>112</v>
      </c>
      <c r="T265" s="39" t="s">
        <v>113</v>
      </c>
      <c r="U265" s="39"/>
      <c r="V265" s="39" t="s">
        <v>645</v>
      </c>
      <c r="W265" s="58">
        <v>57112</v>
      </c>
      <c r="X265" s="120"/>
      <c r="Y265" s="58">
        <v>33500</v>
      </c>
      <c r="Z265" s="235"/>
      <c r="AA265" s="47">
        <f>AB265+AC265+AD265+AE265</f>
        <v>33500</v>
      </c>
      <c r="AB265" s="120">
        <v>33500</v>
      </c>
      <c r="AC265" s="235"/>
      <c r="AD265" s="235"/>
      <c r="AE265" s="235"/>
      <c r="AF265" s="235"/>
      <c r="AG265" s="250">
        <v>15000</v>
      </c>
      <c r="AH265" s="235"/>
      <c r="AI265" s="250">
        <v>15000</v>
      </c>
      <c r="AJ265" s="47">
        <f>AF265+AI265</f>
        <v>15000</v>
      </c>
      <c r="AK265" s="120">
        <v>18500</v>
      </c>
      <c r="AL265" s="47">
        <f>AM265+AN265+AO265+AP265</f>
        <v>18500</v>
      </c>
      <c r="AM265" s="47">
        <v>18500</v>
      </c>
      <c r="AN265" s="47"/>
      <c r="AO265" s="43"/>
      <c r="AP265" s="43"/>
      <c r="AQ265" s="47"/>
      <c r="AR265" s="48">
        <f t="shared" si="479"/>
        <v>0</v>
      </c>
      <c r="AS265" s="49" t="e">
        <f>#REF!-AL265</f>
        <v>#REF!</v>
      </c>
    </row>
    <row r="266" spans="1:45" s="50" customFormat="1" ht="18" customHeight="1">
      <c r="B266" s="80"/>
      <c r="C266" s="340"/>
      <c r="D266" s="247"/>
      <c r="E266" s="43"/>
      <c r="F266" s="43"/>
      <c r="G266" s="43"/>
      <c r="H266" s="43"/>
      <c r="I266" s="43"/>
      <c r="J266" s="43"/>
      <c r="K266" s="43"/>
      <c r="L266" s="43"/>
      <c r="M266" s="246"/>
      <c r="N266" s="39"/>
      <c r="O266" s="39"/>
      <c r="P266" s="39"/>
      <c r="Q266" s="39"/>
      <c r="R266" s="39"/>
      <c r="S266" s="39"/>
      <c r="T266" s="39"/>
      <c r="U266" s="39"/>
      <c r="V266" s="39"/>
      <c r="W266" s="43"/>
      <c r="X266" s="235"/>
      <c r="Y266" s="43"/>
      <c r="Z266" s="235"/>
      <c r="AA266" s="43"/>
      <c r="AB266" s="235"/>
      <c r="AC266" s="235"/>
      <c r="AD266" s="235"/>
      <c r="AE266" s="235"/>
      <c r="AF266" s="235"/>
      <c r="AG266" s="235"/>
      <c r="AH266" s="235"/>
      <c r="AI266" s="235"/>
      <c r="AJ266" s="43"/>
      <c r="AK266" s="235"/>
      <c r="AL266" s="43"/>
      <c r="AM266" s="43"/>
      <c r="AN266" s="43"/>
      <c r="AO266" s="43"/>
      <c r="AP266" s="43"/>
      <c r="AQ266" s="47"/>
      <c r="AR266" s="48">
        <f t="shared" si="479"/>
        <v>0</v>
      </c>
      <c r="AS266" s="49" t="e">
        <f>#REF!-AL266</f>
        <v>#REF!</v>
      </c>
    </row>
    <row r="267" spans="1:45" s="50" customFormat="1" ht="27.95" customHeight="1">
      <c r="B267" s="36" t="s">
        <v>884</v>
      </c>
      <c r="C267" s="349" t="s">
        <v>65</v>
      </c>
      <c r="D267" s="247">
        <f t="shared" ref="D267:J267" si="506">D268+D303</f>
        <v>19</v>
      </c>
      <c r="E267" s="43">
        <f t="shared" si="506"/>
        <v>7</v>
      </c>
      <c r="F267" s="43">
        <f t="shared" si="506"/>
        <v>16900</v>
      </c>
      <c r="G267" s="43">
        <f t="shared" si="506"/>
        <v>12</v>
      </c>
      <c r="H267" s="43">
        <f t="shared" si="506"/>
        <v>16020</v>
      </c>
      <c r="I267" s="43">
        <f t="shared" si="506"/>
        <v>0</v>
      </c>
      <c r="J267" s="43">
        <f t="shared" si="506"/>
        <v>0</v>
      </c>
      <c r="K267" s="43" t="e">
        <f>#REF!+K290</f>
        <v>#REF!</v>
      </c>
      <c r="L267" s="43" t="e">
        <f>#REF!+L290</f>
        <v>#REF!</v>
      </c>
      <c r="M267" s="43" t="e">
        <f>#REF!+M290</f>
        <v>#REF!</v>
      </c>
      <c r="N267" s="39"/>
      <c r="O267" s="39"/>
      <c r="P267" s="39"/>
      <c r="Q267" s="39"/>
      <c r="R267" s="39"/>
      <c r="S267" s="93"/>
      <c r="T267" s="39"/>
      <c r="U267" s="39"/>
      <c r="V267" s="39"/>
      <c r="W267" s="43">
        <f>W268+W303</f>
        <v>89818</v>
      </c>
      <c r="X267" s="235" t="e">
        <f>#REF!+X290</f>
        <v>#REF!</v>
      </c>
      <c r="Y267" s="43">
        <f t="shared" ref="Y267:AP267" si="507">Y268+Y303</f>
        <v>76575</v>
      </c>
      <c r="Z267" s="43">
        <f t="shared" si="507"/>
        <v>0</v>
      </c>
      <c r="AA267" s="43">
        <f t="shared" si="507"/>
        <v>58040</v>
      </c>
      <c r="AB267" s="235">
        <f t="shared" si="507"/>
        <v>0</v>
      </c>
      <c r="AC267" s="235">
        <f t="shared" si="507"/>
        <v>58040</v>
      </c>
      <c r="AD267" s="235">
        <f t="shared" si="507"/>
        <v>0</v>
      </c>
      <c r="AE267" s="235">
        <f t="shared" si="507"/>
        <v>0</v>
      </c>
      <c r="AF267" s="235">
        <f t="shared" si="507"/>
        <v>0</v>
      </c>
      <c r="AG267" s="235">
        <f t="shared" si="507"/>
        <v>19400</v>
      </c>
      <c r="AH267" s="235">
        <f t="shared" si="507"/>
        <v>2142.2959999999998</v>
      </c>
      <c r="AI267" s="235">
        <f t="shared" si="507"/>
        <v>18040</v>
      </c>
      <c r="AJ267" s="43">
        <f t="shared" si="507"/>
        <v>18040</v>
      </c>
      <c r="AK267" s="235">
        <f t="shared" si="507"/>
        <v>32990</v>
      </c>
      <c r="AL267" s="43">
        <f t="shared" si="507"/>
        <v>32920</v>
      </c>
      <c r="AM267" s="43">
        <f t="shared" si="507"/>
        <v>0</v>
      </c>
      <c r="AN267" s="43">
        <f t="shared" si="507"/>
        <v>32920</v>
      </c>
      <c r="AO267" s="43">
        <f t="shared" si="507"/>
        <v>0</v>
      </c>
      <c r="AP267" s="43">
        <f t="shared" si="507"/>
        <v>0</v>
      </c>
      <c r="AQ267" s="47"/>
      <c r="AR267" s="48">
        <f t="shared" si="479"/>
        <v>7080</v>
      </c>
      <c r="AS267" s="49" t="e">
        <f>#REF!-AL267</f>
        <v>#REF!</v>
      </c>
    </row>
    <row r="268" spans="1:45" s="72" customFormat="1" ht="69.599999999999994" customHeight="1">
      <c r="B268" s="36" t="s">
        <v>50</v>
      </c>
      <c r="C268" s="376" t="s">
        <v>874</v>
      </c>
      <c r="D268" s="247">
        <f t="shared" ref="D268:J268" si="508">D270+D290</f>
        <v>19</v>
      </c>
      <c r="E268" s="43">
        <f t="shared" si="508"/>
        <v>7</v>
      </c>
      <c r="F268" s="43">
        <f t="shared" si="508"/>
        <v>16900</v>
      </c>
      <c r="G268" s="43">
        <f t="shared" si="508"/>
        <v>12</v>
      </c>
      <c r="H268" s="43">
        <f t="shared" si="508"/>
        <v>16020</v>
      </c>
      <c r="I268" s="43">
        <f t="shared" si="508"/>
        <v>0</v>
      </c>
      <c r="J268" s="43">
        <f t="shared" si="508"/>
        <v>0</v>
      </c>
      <c r="K268" s="43"/>
      <c r="L268" s="43"/>
      <c r="M268" s="43"/>
      <c r="N268" s="80"/>
      <c r="O268" s="80"/>
      <c r="P268" s="80"/>
      <c r="Q268" s="80"/>
      <c r="R268" s="80"/>
      <c r="S268" s="247"/>
      <c r="T268" s="80"/>
      <c r="U268" s="80"/>
      <c r="V268" s="80"/>
      <c r="W268" s="43">
        <f>W270+W290</f>
        <v>89818</v>
      </c>
      <c r="X268" s="235"/>
      <c r="Y268" s="43">
        <f t="shared" ref="Y268:AP268" si="509">Y270+Y290</f>
        <v>76575</v>
      </c>
      <c r="Z268" s="43">
        <f t="shared" si="509"/>
        <v>0</v>
      </c>
      <c r="AA268" s="43">
        <f t="shared" si="509"/>
        <v>58040</v>
      </c>
      <c r="AB268" s="235">
        <f t="shared" si="509"/>
        <v>0</v>
      </c>
      <c r="AC268" s="235">
        <f t="shared" si="509"/>
        <v>58040</v>
      </c>
      <c r="AD268" s="235">
        <f t="shared" si="509"/>
        <v>0</v>
      </c>
      <c r="AE268" s="235">
        <f t="shared" si="509"/>
        <v>0</v>
      </c>
      <c r="AF268" s="235">
        <f t="shared" si="509"/>
        <v>0</v>
      </c>
      <c r="AG268" s="235">
        <f t="shared" si="509"/>
        <v>19400</v>
      </c>
      <c r="AH268" s="235">
        <f t="shared" si="509"/>
        <v>2142.2959999999998</v>
      </c>
      <c r="AI268" s="235">
        <f t="shared" si="509"/>
        <v>18040</v>
      </c>
      <c r="AJ268" s="43">
        <f t="shared" si="509"/>
        <v>18040</v>
      </c>
      <c r="AK268" s="235">
        <f t="shared" si="509"/>
        <v>32990</v>
      </c>
      <c r="AL268" s="43">
        <f t="shared" si="509"/>
        <v>32920</v>
      </c>
      <c r="AM268" s="43">
        <f t="shared" si="509"/>
        <v>0</v>
      </c>
      <c r="AN268" s="43">
        <f t="shared" si="509"/>
        <v>32920</v>
      </c>
      <c r="AO268" s="43">
        <f t="shared" si="509"/>
        <v>0</v>
      </c>
      <c r="AP268" s="43">
        <f t="shared" si="509"/>
        <v>0</v>
      </c>
      <c r="AQ268" s="43"/>
      <c r="AR268" s="143"/>
      <c r="AS268" s="238"/>
    </row>
    <row r="269" spans="1:45" s="50" customFormat="1">
      <c r="B269" s="36"/>
      <c r="C269" s="377" t="s">
        <v>23</v>
      </c>
      <c r="D269" s="247"/>
      <c r="E269" s="43"/>
      <c r="F269" s="43"/>
      <c r="G269" s="43"/>
      <c r="H269" s="43"/>
      <c r="I269" s="43"/>
      <c r="J269" s="43"/>
      <c r="K269" s="43"/>
      <c r="L269" s="43"/>
      <c r="M269" s="43"/>
      <c r="N269" s="39"/>
      <c r="O269" s="39"/>
      <c r="P269" s="39"/>
      <c r="Q269" s="39"/>
      <c r="R269" s="39"/>
      <c r="S269" s="93"/>
      <c r="T269" s="39"/>
      <c r="U269" s="39"/>
      <c r="V269" s="39"/>
      <c r="W269" s="43"/>
      <c r="X269" s="235"/>
      <c r="Y269" s="43"/>
      <c r="Z269" s="235"/>
      <c r="AA269" s="43"/>
      <c r="AB269" s="235"/>
      <c r="AC269" s="235"/>
      <c r="AD269" s="235"/>
      <c r="AE269" s="235"/>
      <c r="AF269" s="235"/>
      <c r="AG269" s="235"/>
      <c r="AH269" s="235"/>
      <c r="AI269" s="235"/>
      <c r="AJ269" s="43"/>
      <c r="AK269" s="235"/>
      <c r="AL269" s="43"/>
      <c r="AM269" s="43"/>
      <c r="AN269" s="43"/>
      <c r="AO269" s="43"/>
      <c r="AP269" s="43"/>
      <c r="AQ269" s="47"/>
      <c r="AR269" s="48"/>
      <c r="AS269" s="49"/>
    </row>
    <row r="270" spans="1:45" s="50" customFormat="1" ht="27.95" customHeight="1">
      <c r="B270" s="36" t="s">
        <v>106</v>
      </c>
      <c r="C270" s="340" t="s">
        <v>175</v>
      </c>
      <c r="D270" s="247">
        <f t="shared" ref="D270:J270" si="510">D271</f>
        <v>12</v>
      </c>
      <c r="E270" s="43">
        <f t="shared" si="510"/>
        <v>0</v>
      </c>
      <c r="F270" s="43">
        <f t="shared" si="510"/>
        <v>0</v>
      </c>
      <c r="G270" s="43">
        <f t="shared" si="510"/>
        <v>12</v>
      </c>
      <c r="H270" s="43">
        <f t="shared" si="510"/>
        <v>16020</v>
      </c>
      <c r="I270" s="43">
        <f t="shared" si="510"/>
        <v>0</v>
      </c>
      <c r="J270" s="43">
        <f t="shared" si="510"/>
        <v>0</v>
      </c>
      <c r="K270" s="43"/>
      <c r="L270" s="43"/>
      <c r="M270" s="43"/>
      <c r="N270" s="39"/>
      <c r="O270" s="39"/>
      <c r="P270" s="39"/>
      <c r="Q270" s="39"/>
      <c r="R270" s="39"/>
      <c r="S270" s="93"/>
      <c r="T270" s="39"/>
      <c r="U270" s="39"/>
      <c r="V270" s="39"/>
      <c r="W270" s="43">
        <f>W271</f>
        <v>48015</v>
      </c>
      <c r="X270" s="235"/>
      <c r="Y270" s="43">
        <f t="shared" ref="Y270:AP270" si="511">Y271</f>
        <v>46410</v>
      </c>
      <c r="Z270" s="43">
        <f t="shared" si="511"/>
        <v>0</v>
      </c>
      <c r="AA270" s="43">
        <f t="shared" si="511"/>
        <v>34340</v>
      </c>
      <c r="AB270" s="235">
        <f t="shared" si="511"/>
        <v>0</v>
      </c>
      <c r="AC270" s="235">
        <f t="shared" si="511"/>
        <v>34340</v>
      </c>
      <c r="AD270" s="235">
        <f t="shared" si="511"/>
        <v>0</v>
      </c>
      <c r="AE270" s="235">
        <f t="shared" si="511"/>
        <v>0</v>
      </c>
      <c r="AF270" s="235">
        <f t="shared" si="511"/>
        <v>0</v>
      </c>
      <c r="AG270" s="235">
        <f t="shared" si="511"/>
        <v>16400</v>
      </c>
      <c r="AH270" s="235">
        <f t="shared" si="511"/>
        <v>2142.2959999999998</v>
      </c>
      <c r="AI270" s="235">
        <f t="shared" si="511"/>
        <v>17640</v>
      </c>
      <c r="AJ270" s="43">
        <f t="shared" si="511"/>
        <v>17640</v>
      </c>
      <c r="AK270" s="235">
        <f t="shared" si="511"/>
        <v>16090</v>
      </c>
      <c r="AL270" s="43">
        <f t="shared" si="511"/>
        <v>16020</v>
      </c>
      <c r="AM270" s="43">
        <f t="shared" si="511"/>
        <v>0</v>
      </c>
      <c r="AN270" s="43">
        <f t="shared" si="511"/>
        <v>16020</v>
      </c>
      <c r="AO270" s="43">
        <f t="shared" si="511"/>
        <v>0</v>
      </c>
      <c r="AP270" s="43">
        <f t="shared" si="511"/>
        <v>0</v>
      </c>
      <c r="AQ270" s="47"/>
      <c r="AR270" s="48"/>
      <c r="AS270" s="49"/>
    </row>
    <row r="271" spans="1:45" s="50" customFormat="1" ht="21.6" customHeight="1">
      <c r="B271" s="36" t="s">
        <v>875</v>
      </c>
      <c r="C271" s="348" t="s">
        <v>119</v>
      </c>
      <c r="D271" s="439">
        <f t="shared" ref="D271:J271" si="512">D272+D275+D278+D284+D286</f>
        <v>12</v>
      </c>
      <c r="E271" s="69">
        <f t="shared" si="512"/>
        <v>0</v>
      </c>
      <c r="F271" s="69">
        <f t="shared" si="512"/>
        <v>0</v>
      </c>
      <c r="G271" s="69">
        <f t="shared" si="512"/>
        <v>12</v>
      </c>
      <c r="H271" s="69">
        <f t="shared" si="512"/>
        <v>16020</v>
      </c>
      <c r="I271" s="69">
        <f t="shared" si="512"/>
        <v>0</v>
      </c>
      <c r="J271" s="69">
        <f t="shared" si="512"/>
        <v>0</v>
      </c>
      <c r="K271" s="43"/>
      <c r="L271" s="43"/>
      <c r="M271" s="43"/>
      <c r="N271" s="39"/>
      <c r="O271" s="39"/>
      <c r="P271" s="39"/>
      <c r="Q271" s="39"/>
      <c r="R271" s="39"/>
      <c r="S271" s="93"/>
      <c r="T271" s="39"/>
      <c r="U271" s="39"/>
      <c r="V271" s="39"/>
      <c r="W271" s="69">
        <f>W272+W275+W278+W284+W286</f>
        <v>48015</v>
      </c>
      <c r="X271" s="69">
        <f t="shared" ref="X271:AP271" si="513">X272+X275+X278+X284+X286</f>
        <v>0</v>
      </c>
      <c r="Y271" s="69">
        <f t="shared" si="513"/>
        <v>46410</v>
      </c>
      <c r="Z271" s="69">
        <f t="shared" si="513"/>
        <v>0</v>
      </c>
      <c r="AA271" s="69">
        <f t="shared" si="513"/>
        <v>34340</v>
      </c>
      <c r="AB271" s="236">
        <f t="shared" si="513"/>
        <v>0</v>
      </c>
      <c r="AC271" s="236">
        <f t="shared" si="513"/>
        <v>34340</v>
      </c>
      <c r="AD271" s="236">
        <f t="shared" si="513"/>
        <v>0</v>
      </c>
      <c r="AE271" s="236">
        <f t="shared" si="513"/>
        <v>0</v>
      </c>
      <c r="AF271" s="236">
        <f t="shared" si="513"/>
        <v>0</v>
      </c>
      <c r="AG271" s="236">
        <f t="shared" si="513"/>
        <v>16400</v>
      </c>
      <c r="AH271" s="236">
        <f t="shared" si="513"/>
        <v>2142.2959999999998</v>
      </c>
      <c r="AI271" s="236">
        <f t="shared" si="513"/>
        <v>17640</v>
      </c>
      <c r="AJ271" s="69">
        <f t="shared" si="513"/>
        <v>17640</v>
      </c>
      <c r="AK271" s="236">
        <f t="shared" si="513"/>
        <v>16090</v>
      </c>
      <c r="AL271" s="69">
        <f t="shared" si="513"/>
        <v>16020</v>
      </c>
      <c r="AM271" s="69">
        <f t="shared" si="513"/>
        <v>0</v>
      </c>
      <c r="AN271" s="69">
        <f t="shared" si="513"/>
        <v>16020</v>
      </c>
      <c r="AO271" s="69">
        <f t="shared" si="513"/>
        <v>0</v>
      </c>
      <c r="AP271" s="69">
        <f t="shared" si="513"/>
        <v>0</v>
      </c>
      <c r="AQ271" s="47"/>
      <c r="AR271" s="48"/>
      <c r="AS271" s="49"/>
    </row>
    <row r="272" spans="1:45" s="50" customFormat="1" ht="36.6" customHeight="1">
      <c r="B272" s="237"/>
      <c r="C272" s="340" t="s">
        <v>958</v>
      </c>
      <c r="D272" s="444">
        <f t="shared" ref="D272:J272" si="514">D273+D274</f>
        <v>2</v>
      </c>
      <c r="E272" s="379">
        <f t="shared" si="514"/>
        <v>0</v>
      </c>
      <c r="F272" s="379">
        <f t="shared" si="514"/>
        <v>0</v>
      </c>
      <c r="G272" s="379">
        <f t="shared" si="514"/>
        <v>2</v>
      </c>
      <c r="H272" s="379">
        <f t="shared" si="514"/>
        <v>820</v>
      </c>
      <c r="I272" s="379">
        <f t="shared" si="514"/>
        <v>0</v>
      </c>
      <c r="J272" s="379">
        <f t="shared" si="514"/>
        <v>0</v>
      </c>
      <c r="K272" s="47"/>
      <c r="L272" s="130"/>
      <c r="M272" s="88"/>
      <c r="N272" s="39"/>
      <c r="O272" s="39"/>
      <c r="P272" s="39"/>
      <c r="Q272" s="41"/>
      <c r="R272" s="122"/>
      <c r="S272" s="122"/>
      <c r="T272" s="90"/>
      <c r="U272" s="90"/>
      <c r="V272" s="90"/>
      <c r="W272" s="379">
        <f>W273+W274</f>
        <v>6194</v>
      </c>
      <c r="X272" s="379">
        <f t="shared" ref="X272:AP272" si="515">X273+X274</f>
        <v>0</v>
      </c>
      <c r="Y272" s="379">
        <f t="shared" si="515"/>
        <v>6100</v>
      </c>
      <c r="Z272" s="379">
        <f t="shared" si="515"/>
        <v>0</v>
      </c>
      <c r="AA272" s="379">
        <f t="shared" si="515"/>
        <v>6100</v>
      </c>
      <c r="AB272" s="415">
        <f t="shared" si="515"/>
        <v>0</v>
      </c>
      <c r="AC272" s="415">
        <f t="shared" si="515"/>
        <v>6100</v>
      </c>
      <c r="AD272" s="415">
        <f t="shared" si="515"/>
        <v>0</v>
      </c>
      <c r="AE272" s="415">
        <f t="shared" si="515"/>
        <v>0</v>
      </c>
      <c r="AF272" s="415">
        <f t="shared" si="515"/>
        <v>0</v>
      </c>
      <c r="AG272" s="415">
        <f t="shared" si="515"/>
        <v>0</v>
      </c>
      <c r="AH272" s="415">
        <f t="shared" si="515"/>
        <v>0</v>
      </c>
      <c r="AI272" s="415">
        <f t="shared" si="515"/>
        <v>4640</v>
      </c>
      <c r="AJ272" s="379">
        <f t="shared" si="515"/>
        <v>4640</v>
      </c>
      <c r="AK272" s="415">
        <f t="shared" si="515"/>
        <v>850</v>
      </c>
      <c r="AL272" s="379">
        <f t="shared" si="515"/>
        <v>820</v>
      </c>
      <c r="AM272" s="379">
        <f t="shared" si="515"/>
        <v>0</v>
      </c>
      <c r="AN272" s="379">
        <f t="shared" si="515"/>
        <v>820</v>
      </c>
      <c r="AO272" s="379">
        <f t="shared" si="515"/>
        <v>0</v>
      </c>
      <c r="AP272" s="379">
        <f t="shared" si="515"/>
        <v>0</v>
      </c>
      <c r="AQ272" s="331"/>
    </row>
    <row r="273" spans="1:45" s="50" customFormat="1" ht="122.1" customHeight="1">
      <c r="A273" s="50" t="s">
        <v>749</v>
      </c>
      <c r="B273" s="237">
        <v>1</v>
      </c>
      <c r="C273" s="125" t="s">
        <v>657</v>
      </c>
      <c r="D273" s="93">
        <v>1</v>
      </c>
      <c r="E273" s="47"/>
      <c r="F273" s="47"/>
      <c r="G273" s="47">
        <v>1</v>
      </c>
      <c r="H273" s="47">
        <f>G273*AL273</f>
        <v>500</v>
      </c>
      <c r="I273" s="47"/>
      <c r="J273" s="47"/>
      <c r="K273" s="47"/>
      <c r="L273" s="130">
        <v>1</v>
      </c>
      <c r="M273" s="88"/>
      <c r="N273" s="39" t="s">
        <v>192</v>
      </c>
      <c r="O273" s="39" t="s">
        <v>359</v>
      </c>
      <c r="P273" s="39" t="s">
        <v>360</v>
      </c>
      <c r="Q273" s="41" t="s">
        <v>653</v>
      </c>
      <c r="R273" s="122"/>
      <c r="S273" s="122"/>
      <c r="T273" s="90" t="s">
        <v>114</v>
      </c>
      <c r="U273" s="90"/>
      <c r="V273" s="90" t="s">
        <v>654</v>
      </c>
      <c r="W273" s="62">
        <v>3549</v>
      </c>
      <c r="X273" s="264"/>
      <c r="Y273" s="62">
        <v>3500</v>
      </c>
      <c r="Z273" s="235"/>
      <c r="AA273" s="266">
        <f>AB273+AC273+AD273+AE273</f>
        <v>3500</v>
      </c>
      <c r="AB273" s="265"/>
      <c r="AC273" s="265">
        <v>3500</v>
      </c>
      <c r="AD273" s="235"/>
      <c r="AE273" s="235"/>
      <c r="AF273" s="120"/>
      <c r="AG273" s="265"/>
      <c r="AH273" s="221"/>
      <c r="AI273" s="265">
        <v>2720</v>
      </c>
      <c r="AJ273" s="47">
        <f>AF273+AI273</f>
        <v>2720</v>
      </c>
      <c r="AK273" s="265">
        <v>500</v>
      </c>
      <c r="AL273" s="47">
        <f>AM273+AN273+AO273+AP273</f>
        <v>500</v>
      </c>
      <c r="AM273" s="62"/>
      <c r="AN273" s="62">
        <v>500</v>
      </c>
      <c r="AO273" s="43"/>
      <c r="AP273" s="43"/>
      <c r="AQ273" s="331"/>
    </row>
    <row r="274" spans="1:45" s="50" customFormat="1" ht="110.45" customHeight="1">
      <c r="A274" s="50" t="s">
        <v>749</v>
      </c>
      <c r="B274" s="237">
        <v>2</v>
      </c>
      <c r="C274" s="125" t="s">
        <v>658</v>
      </c>
      <c r="D274" s="93">
        <v>1</v>
      </c>
      <c r="E274" s="47"/>
      <c r="F274" s="47"/>
      <c r="G274" s="47">
        <v>1</v>
      </c>
      <c r="H274" s="47">
        <f>G274*AL274</f>
        <v>320</v>
      </c>
      <c r="I274" s="47"/>
      <c r="J274" s="47"/>
      <c r="K274" s="47"/>
      <c r="L274" s="130">
        <v>1</v>
      </c>
      <c r="M274" s="88"/>
      <c r="N274" s="39" t="s">
        <v>192</v>
      </c>
      <c r="O274" s="39" t="s">
        <v>359</v>
      </c>
      <c r="P274" s="39" t="s">
        <v>360</v>
      </c>
      <c r="Q274" s="41" t="s">
        <v>655</v>
      </c>
      <c r="R274" s="122"/>
      <c r="S274" s="122"/>
      <c r="T274" s="90" t="s">
        <v>116</v>
      </c>
      <c r="U274" s="90"/>
      <c r="V274" s="90" t="s">
        <v>656</v>
      </c>
      <c r="W274" s="62">
        <v>2645</v>
      </c>
      <c r="X274" s="264"/>
      <c r="Y274" s="62">
        <v>2600</v>
      </c>
      <c r="Z274" s="235"/>
      <c r="AA274" s="266">
        <f>AB274+AC274+AD274+AE274</f>
        <v>2600</v>
      </c>
      <c r="AB274" s="265"/>
      <c r="AC274" s="265">
        <v>2600</v>
      </c>
      <c r="AD274" s="235"/>
      <c r="AE274" s="235"/>
      <c r="AF274" s="120"/>
      <c r="AG274" s="265"/>
      <c r="AH274" s="221"/>
      <c r="AI274" s="265">
        <v>1920</v>
      </c>
      <c r="AJ274" s="47">
        <f>AF274+AI274</f>
        <v>1920</v>
      </c>
      <c r="AK274" s="265">
        <v>350</v>
      </c>
      <c r="AL274" s="47">
        <f>AM274+AN274+AO274+AP274</f>
        <v>320</v>
      </c>
      <c r="AM274" s="62"/>
      <c r="AN274" s="62">
        <v>320</v>
      </c>
      <c r="AO274" s="43"/>
      <c r="AP274" s="43"/>
      <c r="AQ274" s="331"/>
    </row>
    <row r="275" spans="1:45" s="50" customFormat="1" ht="33.950000000000003" customHeight="1">
      <c r="B275" s="36"/>
      <c r="C275" s="340" t="s">
        <v>954</v>
      </c>
      <c r="D275" s="247">
        <f t="shared" ref="D275:J275" si="516">D276+D277</f>
        <v>2</v>
      </c>
      <c r="E275" s="43">
        <f t="shared" si="516"/>
        <v>0</v>
      </c>
      <c r="F275" s="43">
        <f t="shared" si="516"/>
        <v>0</v>
      </c>
      <c r="G275" s="43">
        <f t="shared" si="516"/>
        <v>2</v>
      </c>
      <c r="H275" s="43">
        <f t="shared" si="516"/>
        <v>2000</v>
      </c>
      <c r="I275" s="43">
        <f t="shared" si="516"/>
        <v>0</v>
      </c>
      <c r="J275" s="43">
        <f t="shared" si="516"/>
        <v>0</v>
      </c>
      <c r="K275" s="43"/>
      <c r="L275" s="43"/>
      <c r="M275" s="43"/>
      <c r="N275" s="39"/>
      <c r="O275" s="39"/>
      <c r="P275" s="39"/>
      <c r="Q275" s="39"/>
      <c r="R275" s="39"/>
      <c r="S275" s="93"/>
      <c r="T275" s="39"/>
      <c r="U275" s="39"/>
      <c r="V275" s="39"/>
      <c r="W275" s="43">
        <f>W276+W277</f>
        <v>6379</v>
      </c>
      <c r="X275" s="235"/>
      <c r="Y275" s="43">
        <f t="shared" ref="Y275:AP275" si="517">Y276+Y277</f>
        <v>6379</v>
      </c>
      <c r="Z275" s="43">
        <f t="shared" si="517"/>
        <v>0</v>
      </c>
      <c r="AA275" s="43">
        <f t="shared" si="517"/>
        <v>5200</v>
      </c>
      <c r="AB275" s="235">
        <f t="shared" si="517"/>
        <v>0</v>
      </c>
      <c r="AC275" s="235">
        <f t="shared" si="517"/>
        <v>5200</v>
      </c>
      <c r="AD275" s="235">
        <f t="shared" si="517"/>
        <v>0</v>
      </c>
      <c r="AE275" s="235">
        <f t="shared" si="517"/>
        <v>0</v>
      </c>
      <c r="AF275" s="235">
        <f t="shared" si="517"/>
        <v>0</v>
      </c>
      <c r="AG275" s="235">
        <f t="shared" si="517"/>
        <v>3200</v>
      </c>
      <c r="AH275" s="235">
        <f t="shared" si="517"/>
        <v>1350</v>
      </c>
      <c r="AI275" s="235">
        <f t="shared" si="517"/>
        <v>3200</v>
      </c>
      <c r="AJ275" s="43">
        <f t="shared" si="517"/>
        <v>3200</v>
      </c>
      <c r="AK275" s="235">
        <f t="shared" si="517"/>
        <v>2000</v>
      </c>
      <c r="AL275" s="43">
        <f t="shared" si="517"/>
        <v>2000</v>
      </c>
      <c r="AM275" s="43">
        <f t="shared" si="517"/>
        <v>0</v>
      </c>
      <c r="AN275" s="43">
        <f t="shared" si="517"/>
        <v>2000</v>
      </c>
      <c r="AO275" s="43">
        <f t="shared" si="517"/>
        <v>0</v>
      </c>
      <c r="AP275" s="43">
        <f t="shared" si="517"/>
        <v>0</v>
      </c>
      <c r="AQ275" s="47"/>
      <c r="AR275" s="48"/>
      <c r="AS275" s="49"/>
    </row>
    <row r="276" spans="1:45" s="50" customFormat="1" ht="93.95" customHeight="1">
      <c r="A276" s="50" t="s">
        <v>104</v>
      </c>
      <c r="B276" s="237">
        <v>1</v>
      </c>
      <c r="C276" s="345" t="s">
        <v>773</v>
      </c>
      <c r="D276" s="93">
        <v>1</v>
      </c>
      <c r="E276" s="47"/>
      <c r="F276" s="47"/>
      <c r="G276" s="47">
        <v>1</v>
      </c>
      <c r="H276" s="47">
        <f>G276*AL276</f>
        <v>1000</v>
      </c>
      <c r="I276" s="47"/>
      <c r="J276" s="47"/>
      <c r="K276" s="47"/>
      <c r="L276" s="47">
        <v>1</v>
      </c>
      <c r="M276" s="88"/>
      <c r="N276" s="39" t="s">
        <v>161</v>
      </c>
      <c r="O276" s="39" t="s">
        <v>362</v>
      </c>
      <c r="P276" s="39" t="s">
        <v>363</v>
      </c>
      <c r="Q276" s="39">
        <v>7860952</v>
      </c>
      <c r="R276" s="39"/>
      <c r="S276" s="39"/>
      <c r="T276" s="90" t="s">
        <v>114</v>
      </c>
      <c r="U276" s="90" t="s">
        <v>534</v>
      </c>
      <c r="V276" s="90" t="s">
        <v>535</v>
      </c>
      <c r="W276" s="62">
        <v>3409</v>
      </c>
      <c r="X276" s="265"/>
      <c r="Y276" s="62">
        <v>3409</v>
      </c>
      <c r="Z276" s="235"/>
      <c r="AA276" s="62">
        <v>2600</v>
      </c>
      <c r="AB276" s="235"/>
      <c r="AC276" s="265">
        <v>2600</v>
      </c>
      <c r="AD276" s="235"/>
      <c r="AE276" s="235"/>
      <c r="AF276" s="235"/>
      <c r="AG276" s="265">
        <v>1600</v>
      </c>
      <c r="AH276" s="265">
        <v>600</v>
      </c>
      <c r="AI276" s="265">
        <v>1600</v>
      </c>
      <c r="AJ276" s="47">
        <f t="shared" ref="AJ276:AJ277" si="518">AF276+AI276</f>
        <v>1600</v>
      </c>
      <c r="AK276" s="265">
        <v>1000</v>
      </c>
      <c r="AL276" s="47">
        <f t="shared" ref="AL276:AL277" si="519">AM276+AN276+AO276</f>
        <v>1000</v>
      </c>
      <c r="AM276" s="43"/>
      <c r="AN276" s="62">
        <v>1000</v>
      </c>
      <c r="AO276" s="43"/>
      <c r="AP276" s="43"/>
      <c r="AQ276" s="47"/>
      <c r="AR276" s="48">
        <f>AA276-(AF276+AI276+AL276)</f>
        <v>0</v>
      </c>
      <c r="AS276" s="49" t="e">
        <f>#REF!-AL276</f>
        <v>#REF!</v>
      </c>
    </row>
    <row r="277" spans="1:45" s="50" customFormat="1" ht="94.5" customHeight="1">
      <c r="A277" s="50" t="s">
        <v>104</v>
      </c>
      <c r="B277" s="237">
        <f>B276+1</f>
        <v>2</v>
      </c>
      <c r="C277" s="345" t="s">
        <v>774</v>
      </c>
      <c r="D277" s="93">
        <v>1</v>
      </c>
      <c r="E277" s="47"/>
      <c r="F277" s="47"/>
      <c r="G277" s="47">
        <v>1</v>
      </c>
      <c r="H277" s="47">
        <f>G277*AL277</f>
        <v>1000</v>
      </c>
      <c r="I277" s="47"/>
      <c r="J277" s="47"/>
      <c r="K277" s="47"/>
      <c r="L277" s="47">
        <v>1</v>
      </c>
      <c r="M277" s="88"/>
      <c r="N277" s="39" t="s">
        <v>161</v>
      </c>
      <c r="O277" s="39" t="s">
        <v>362</v>
      </c>
      <c r="P277" s="39" t="s">
        <v>363</v>
      </c>
      <c r="Q277" s="39">
        <v>7894330</v>
      </c>
      <c r="R277" s="39"/>
      <c r="S277" s="39"/>
      <c r="T277" s="90" t="s">
        <v>114</v>
      </c>
      <c r="U277" s="90" t="s">
        <v>536</v>
      </c>
      <c r="V277" s="90" t="s">
        <v>537</v>
      </c>
      <c r="W277" s="62">
        <v>2970</v>
      </c>
      <c r="X277" s="265"/>
      <c r="Y277" s="62">
        <v>2970</v>
      </c>
      <c r="Z277" s="235"/>
      <c r="AA277" s="62">
        <v>2600</v>
      </c>
      <c r="AB277" s="235"/>
      <c r="AC277" s="265">
        <v>2600</v>
      </c>
      <c r="AD277" s="235"/>
      <c r="AE277" s="235"/>
      <c r="AF277" s="235"/>
      <c r="AG277" s="265">
        <v>1600</v>
      </c>
      <c r="AH277" s="265">
        <v>750</v>
      </c>
      <c r="AI277" s="265">
        <v>1600</v>
      </c>
      <c r="AJ277" s="47">
        <f t="shared" si="518"/>
        <v>1600</v>
      </c>
      <c r="AK277" s="265">
        <v>1000</v>
      </c>
      <c r="AL277" s="47">
        <f t="shared" si="519"/>
        <v>1000</v>
      </c>
      <c r="AM277" s="43"/>
      <c r="AN277" s="62">
        <v>1000</v>
      </c>
      <c r="AO277" s="43"/>
      <c r="AP277" s="43"/>
      <c r="AQ277" s="47"/>
      <c r="AR277" s="48">
        <f>AA277-(AF277+AI277+AL277)</f>
        <v>0</v>
      </c>
      <c r="AS277" s="49" t="e">
        <f>#REF!-AL277</f>
        <v>#REF!</v>
      </c>
    </row>
    <row r="278" spans="1:45" s="50" customFormat="1" ht="38.1" customHeight="1">
      <c r="B278" s="237"/>
      <c r="C278" s="340" t="s">
        <v>956</v>
      </c>
      <c r="D278" s="445">
        <f t="shared" ref="D278:J278" si="520">D279+D280+D281+D282+D283</f>
        <v>4</v>
      </c>
      <c r="E278" s="378">
        <f t="shared" si="520"/>
        <v>0</v>
      </c>
      <c r="F278" s="378">
        <f t="shared" si="520"/>
        <v>0</v>
      </c>
      <c r="G278" s="378">
        <f t="shared" si="520"/>
        <v>4</v>
      </c>
      <c r="H278" s="378">
        <f t="shared" si="520"/>
        <v>7700</v>
      </c>
      <c r="I278" s="378">
        <f t="shared" si="520"/>
        <v>0</v>
      </c>
      <c r="J278" s="378">
        <f t="shared" si="520"/>
        <v>0</v>
      </c>
      <c r="K278" s="47"/>
      <c r="L278" s="47"/>
      <c r="M278" s="88"/>
      <c r="N278" s="39"/>
      <c r="O278" s="39"/>
      <c r="P278" s="39"/>
      <c r="Q278" s="39"/>
      <c r="R278" s="39"/>
      <c r="S278" s="39"/>
      <c r="T278" s="90"/>
      <c r="U278" s="90"/>
      <c r="V278" s="90"/>
      <c r="W278" s="378">
        <f t="shared" ref="W278:AF278" si="521">W279+W280+W281+W282+W283</f>
        <v>11421</v>
      </c>
      <c r="X278" s="378">
        <f t="shared" si="521"/>
        <v>0</v>
      </c>
      <c r="Y278" s="378">
        <f t="shared" si="521"/>
        <v>9953</v>
      </c>
      <c r="Z278" s="378">
        <f t="shared" si="521"/>
        <v>0</v>
      </c>
      <c r="AA278" s="378">
        <f t="shared" si="521"/>
        <v>9940</v>
      </c>
      <c r="AB278" s="416">
        <f t="shared" si="521"/>
        <v>0</v>
      </c>
      <c r="AC278" s="416">
        <f t="shared" si="521"/>
        <v>9940</v>
      </c>
      <c r="AD278" s="416">
        <f t="shared" si="521"/>
        <v>0</v>
      </c>
      <c r="AE278" s="416">
        <f t="shared" si="521"/>
        <v>0</v>
      </c>
      <c r="AF278" s="416">
        <f t="shared" si="521"/>
        <v>0</v>
      </c>
      <c r="AG278" s="416">
        <f t="shared" ref="AG278:AH278" si="522">AG279+AG280+AG281+AG282+AG283</f>
        <v>3200</v>
      </c>
      <c r="AH278" s="416">
        <f t="shared" si="522"/>
        <v>780.29599999999994</v>
      </c>
      <c r="AI278" s="416">
        <f>AI279+AI280+AI281+AI282+AI283</f>
        <v>2200</v>
      </c>
      <c r="AJ278" s="378">
        <f t="shared" ref="AJ278:AP278" si="523">AJ279+AJ280+AJ281+AJ282+AJ283</f>
        <v>2200</v>
      </c>
      <c r="AK278" s="416">
        <f t="shared" si="523"/>
        <v>7740</v>
      </c>
      <c r="AL278" s="378">
        <f t="shared" si="523"/>
        <v>7700</v>
      </c>
      <c r="AM278" s="378">
        <f t="shared" si="523"/>
        <v>0</v>
      </c>
      <c r="AN278" s="378">
        <f t="shared" si="523"/>
        <v>7700</v>
      </c>
      <c r="AO278" s="378">
        <f t="shared" si="523"/>
        <v>0</v>
      </c>
      <c r="AP278" s="378">
        <f t="shared" si="523"/>
        <v>0</v>
      </c>
      <c r="AQ278" s="47"/>
      <c r="AR278" s="48"/>
      <c r="AS278" s="49"/>
    </row>
    <row r="279" spans="1:45" s="50" customFormat="1" ht="111.6" customHeight="1">
      <c r="A279" s="50" t="s">
        <v>749</v>
      </c>
      <c r="B279" s="237">
        <v>1</v>
      </c>
      <c r="C279" s="102" t="s">
        <v>651</v>
      </c>
      <c r="D279" s="93">
        <v>1</v>
      </c>
      <c r="E279" s="47"/>
      <c r="F279" s="47"/>
      <c r="G279" s="47">
        <v>1</v>
      </c>
      <c r="H279" s="47">
        <f>G279*AL279</f>
        <v>2400</v>
      </c>
      <c r="I279" s="47"/>
      <c r="J279" s="47"/>
      <c r="K279" s="47"/>
      <c r="L279" s="47">
        <v>1</v>
      </c>
      <c r="M279" s="88"/>
      <c r="N279" s="39" t="s">
        <v>276</v>
      </c>
      <c r="O279" s="39" t="s">
        <v>294</v>
      </c>
      <c r="P279" s="39" t="s">
        <v>274</v>
      </c>
      <c r="Q279" s="41" t="s">
        <v>296</v>
      </c>
      <c r="R279" s="39"/>
      <c r="S279" s="39"/>
      <c r="T279" s="90" t="s">
        <v>114</v>
      </c>
      <c r="U279" s="90"/>
      <c r="V279" s="90" t="s">
        <v>298</v>
      </c>
      <c r="W279" s="62">
        <v>3507</v>
      </c>
      <c r="X279" s="58"/>
      <c r="Y279" s="62">
        <v>2600</v>
      </c>
      <c r="Z279" s="43"/>
      <c r="AA279" s="47">
        <f>AB279+AC279+AD279+AE279</f>
        <v>2600</v>
      </c>
      <c r="AB279" s="235"/>
      <c r="AC279" s="265">
        <v>2600</v>
      </c>
      <c r="AD279" s="235"/>
      <c r="AE279" s="235"/>
      <c r="AF279" s="235"/>
      <c r="AG279" s="265"/>
      <c r="AH279" s="265"/>
      <c r="AI279" s="265">
        <v>200</v>
      </c>
      <c r="AJ279" s="47">
        <f t="shared" ref="AJ279:AJ282" si="524">AF279+AI279</f>
        <v>200</v>
      </c>
      <c r="AK279" s="265">
        <v>2400</v>
      </c>
      <c r="AL279" s="47">
        <f>AM279+AN279+AO279+AP279</f>
        <v>2400</v>
      </c>
      <c r="AM279" s="43"/>
      <c r="AN279" s="62">
        <v>2400</v>
      </c>
      <c r="AO279" s="43"/>
      <c r="AP279" s="43"/>
      <c r="AQ279" s="331"/>
    </row>
    <row r="280" spans="1:45" s="50" customFormat="1" ht="95.1" customHeight="1">
      <c r="A280" s="50" t="s">
        <v>749</v>
      </c>
      <c r="B280" s="237">
        <v>2</v>
      </c>
      <c r="C280" s="102" t="s">
        <v>652</v>
      </c>
      <c r="D280" s="93">
        <v>1</v>
      </c>
      <c r="E280" s="47"/>
      <c r="F280" s="47"/>
      <c r="G280" s="47">
        <v>1</v>
      </c>
      <c r="H280" s="47">
        <f>G280*AL280</f>
        <v>2400</v>
      </c>
      <c r="I280" s="47"/>
      <c r="J280" s="47"/>
      <c r="K280" s="47"/>
      <c r="L280" s="47">
        <v>1</v>
      </c>
      <c r="M280" s="88"/>
      <c r="N280" s="39" t="s">
        <v>276</v>
      </c>
      <c r="O280" s="39" t="s">
        <v>294</v>
      </c>
      <c r="P280" s="39" t="s">
        <v>274</v>
      </c>
      <c r="Q280" s="41" t="s">
        <v>297</v>
      </c>
      <c r="R280" s="39"/>
      <c r="S280" s="39"/>
      <c r="T280" s="90" t="s">
        <v>114</v>
      </c>
      <c r="U280" s="90"/>
      <c r="V280" s="90" t="s">
        <v>299</v>
      </c>
      <c r="W280" s="62">
        <v>3161</v>
      </c>
      <c r="X280" s="58"/>
      <c r="Y280" s="62">
        <v>2600</v>
      </c>
      <c r="Z280" s="43"/>
      <c r="AA280" s="62">
        <v>2600</v>
      </c>
      <c r="AB280" s="235"/>
      <c r="AC280" s="265">
        <v>2600</v>
      </c>
      <c r="AD280" s="235"/>
      <c r="AE280" s="235"/>
      <c r="AF280" s="235"/>
      <c r="AG280" s="265"/>
      <c r="AH280" s="265"/>
      <c r="AI280" s="265">
        <v>200</v>
      </c>
      <c r="AJ280" s="47">
        <f t="shared" si="524"/>
        <v>200</v>
      </c>
      <c r="AK280" s="265">
        <v>2400</v>
      </c>
      <c r="AL280" s="47">
        <f>AM280+AN280+AO280+AP280</f>
        <v>2400</v>
      </c>
      <c r="AM280" s="43"/>
      <c r="AN280" s="62">
        <v>2400</v>
      </c>
      <c r="AO280" s="43"/>
      <c r="AP280" s="43"/>
      <c r="AQ280" s="331"/>
    </row>
    <row r="281" spans="1:45" s="50" customFormat="1" ht="119.45" customHeight="1">
      <c r="A281" s="50" t="s">
        <v>749</v>
      </c>
      <c r="B281" s="237">
        <v>3</v>
      </c>
      <c r="C281" s="102" t="s">
        <v>650</v>
      </c>
      <c r="D281" s="93">
        <v>1</v>
      </c>
      <c r="E281" s="47"/>
      <c r="F281" s="47"/>
      <c r="G281" s="47">
        <v>1</v>
      </c>
      <c r="H281" s="47">
        <f>G281*AL281</f>
        <v>2300</v>
      </c>
      <c r="I281" s="47"/>
      <c r="J281" s="47"/>
      <c r="K281" s="47"/>
      <c r="L281" s="47">
        <v>1</v>
      </c>
      <c r="M281" s="88"/>
      <c r="N281" s="39" t="s">
        <v>276</v>
      </c>
      <c r="O281" s="39" t="s">
        <v>294</v>
      </c>
      <c r="P281" s="39" t="s">
        <v>274</v>
      </c>
      <c r="Q281" s="41" t="s">
        <v>554</v>
      </c>
      <c r="R281" s="39"/>
      <c r="S281" s="39"/>
      <c r="T281" s="90" t="s">
        <v>114</v>
      </c>
      <c r="U281" s="90"/>
      <c r="V281" s="90" t="s">
        <v>555</v>
      </c>
      <c r="W281" s="62">
        <v>2506</v>
      </c>
      <c r="X281" s="264"/>
      <c r="Y281" s="62">
        <v>2506</v>
      </c>
      <c r="Z281" s="235"/>
      <c r="AA281" s="266">
        <f>AB281+AC281+AD281+AE281</f>
        <v>2500</v>
      </c>
      <c r="AB281" s="235"/>
      <c r="AC281" s="265">
        <v>2500</v>
      </c>
      <c r="AD281" s="235"/>
      <c r="AE281" s="235"/>
      <c r="AF281" s="235"/>
      <c r="AG281" s="265">
        <v>1600</v>
      </c>
      <c r="AH281" s="265">
        <v>181.679</v>
      </c>
      <c r="AI281" s="265">
        <v>200</v>
      </c>
      <c r="AJ281" s="47">
        <f t="shared" si="524"/>
        <v>200</v>
      </c>
      <c r="AK281" s="265">
        <v>2300</v>
      </c>
      <c r="AL281" s="47">
        <f>AM281+AN281+AO281+AP281</f>
        <v>2300</v>
      </c>
      <c r="AM281" s="43"/>
      <c r="AN281" s="62">
        <v>2300</v>
      </c>
      <c r="AO281" s="43"/>
      <c r="AP281" s="43"/>
      <c r="AQ281" s="93"/>
    </row>
    <row r="282" spans="1:45" s="50" customFormat="1" ht="119.45" customHeight="1">
      <c r="B282" s="237">
        <v>4</v>
      </c>
      <c r="C282" s="102" t="s">
        <v>775</v>
      </c>
      <c r="D282" s="93">
        <v>1</v>
      </c>
      <c r="E282" s="47"/>
      <c r="F282" s="47"/>
      <c r="G282" s="47">
        <v>1</v>
      </c>
      <c r="H282" s="47">
        <f>G282*AL282</f>
        <v>600</v>
      </c>
      <c r="I282" s="47"/>
      <c r="J282" s="47"/>
      <c r="K282" s="47"/>
      <c r="L282" s="47">
        <v>1</v>
      </c>
      <c r="M282" s="88"/>
      <c r="N282" s="39" t="s">
        <v>276</v>
      </c>
      <c r="O282" s="39" t="s">
        <v>294</v>
      </c>
      <c r="P282" s="39" t="s">
        <v>274</v>
      </c>
      <c r="Q282" s="41" t="s">
        <v>556</v>
      </c>
      <c r="R282" s="39"/>
      <c r="S282" s="39"/>
      <c r="T282" s="90" t="s">
        <v>114</v>
      </c>
      <c r="U282" s="90"/>
      <c r="V282" s="90" t="s">
        <v>557</v>
      </c>
      <c r="W282" s="62">
        <v>2247</v>
      </c>
      <c r="X282" s="264"/>
      <c r="Y282" s="62">
        <v>2247</v>
      </c>
      <c r="Z282" s="235"/>
      <c r="AA282" s="62">
        <v>2240</v>
      </c>
      <c r="AB282" s="235"/>
      <c r="AC282" s="265">
        <v>2240</v>
      </c>
      <c r="AD282" s="235"/>
      <c r="AE282" s="235"/>
      <c r="AF282" s="235"/>
      <c r="AG282" s="265">
        <v>1600</v>
      </c>
      <c r="AH282" s="265">
        <v>598.61699999999996</v>
      </c>
      <c r="AI282" s="265">
        <v>1600</v>
      </c>
      <c r="AJ282" s="47">
        <f t="shared" si="524"/>
        <v>1600</v>
      </c>
      <c r="AK282" s="265">
        <v>640</v>
      </c>
      <c r="AL282" s="47">
        <f t="shared" ref="AL282" si="525">AM282+AN282+AO282</f>
        <v>600</v>
      </c>
      <c r="AM282" s="43"/>
      <c r="AN282" s="62">
        <v>600</v>
      </c>
      <c r="AO282" s="43"/>
      <c r="AP282" s="43"/>
      <c r="AQ282" s="47"/>
      <c r="AR282" s="48">
        <f>AA282-(AF282+AI282+AL282)</f>
        <v>40</v>
      </c>
      <c r="AS282" s="49" t="e">
        <f>#REF!-AL282</f>
        <v>#REF!</v>
      </c>
    </row>
    <row r="283" spans="1:45" s="1" customFormat="1" ht="119.45" hidden="1" customHeight="1">
      <c r="B283" s="402"/>
      <c r="C283" s="387"/>
      <c r="D283" s="309"/>
      <c r="E283" s="45"/>
      <c r="F283" s="45"/>
      <c r="G283" s="45"/>
      <c r="H283" s="45"/>
      <c r="I283" s="45"/>
      <c r="J283" s="45"/>
      <c r="K283" s="45"/>
      <c r="L283" s="45"/>
      <c r="M283" s="389"/>
      <c r="N283" s="115"/>
      <c r="O283" s="115"/>
      <c r="P283" s="115"/>
      <c r="Q283" s="258"/>
      <c r="R283" s="115"/>
      <c r="S283" s="115"/>
      <c r="T283" s="314"/>
      <c r="U283" s="314"/>
      <c r="V283" s="314"/>
      <c r="W283" s="390"/>
      <c r="X283" s="400"/>
      <c r="Y283" s="390"/>
      <c r="Z283" s="63"/>
      <c r="AA283" s="45"/>
      <c r="AB283" s="235"/>
      <c r="AC283" s="265"/>
      <c r="AD283" s="235"/>
      <c r="AE283" s="235"/>
      <c r="AF283" s="235"/>
      <c r="AG283" s="265"/>
      <c r="AH283" s="265"/>
      <c r="AI283" s="265"/>
      <c r="AJ283" s="45"/>
      <c r="AK283" s="265"/>
      <c r="AL283" s="45"/>
      <c r="AM283" s="63"/>
      <c r="AN283" s="390"/>
      <c r="AO283" s="63"/>
      <c r="AP283" s="63"/>
      <c r="AQ283" s="401"/>
    </row>
    <row r="284" spans="1:45" s="50" customFormat="1" ht="39" customHeight="1">
      <c r="B284" s="237"/>
      <c r="C284" s="340" t="s">
        <v>961</v>
      </c>
      <c r="D284" s="445">
        <f t="shared" ref="D284:J284" si="526">D285</f>
        <v>1</v>
      </c>
      <c r="E284" s="378">
        <f t="shared" si="526"/>
        <v>0</v>
      </c>
      <c r="F284" s="378">
        <f t="shared" si="526"/>
        <v>0</v>
      </c>
      <c r="G284" s="378">
        <f t="shared" si="526"/>
        <v>1</v>
      </c>
      <c r="H284" s="378">
        <f t="shared" si="526"/>
        <v>200</v>
      </c>
      <c r="I284" s="378">
        <f t="shared" si="526"/>
        <v>0</v>
      </c>
      <c r="J284" s="378">
        <f t="shared" si="526"/>
        <v>0</v>
      </c>
      <c r="K284" s="47"/>
      <c r="L284" s="47"/>
      <c r="M284" s="88"/>
      <c r="N284" s="39"/>
      <c r="O284" s="39"/>
      <c r="P284" s="39"/>
      <c r="Q284" s="39"/>
      <c r="R284" s="39"/>
      <c r="S284" s="39"/>
      <c r="T284" s="90"/>
      <c r="U284" s="90"/>
      <c r="V284" s="97"/>
      <c r="W284" s="378">
        <f>W285</f>
        <v>6105</v>
      </c>
      <c r="X284" s="264"/>
      <c r="Y284" s="378">
        <f t="shared" ref="Y284:AP284" si="527">Y285</f>
        <v>6105</v>
      </c>
      <c r="Z284" s="378">
        <f t="shared" si="527"/>
        <v>0</v>
      </c>
      <c r="AA284" s="378">
        <f t="shared" si="527"/>
        <v>4000</v>
      </c>
      <c r="AB284" s="416">
        <f t="shared" si="527"/>
        <v>0</v>
      </c>
      <c r="AC284" s="416">
        <f t="shared" si="527"/>
        <v>4000</v>
      </c>
      <c r="AD284" s="416">
        <f t="shared" si="527"/>
        <v>0</v>
      </c>
      <c r="AE284" s="416">
        <f t="shared" si="527"/>
        <v>0</v>
      </c>
      <c r="AF284" s="416">
        <f t="shared" si="527"/>
        <v>0</v>
      </c>
      <c r="AG284" s="416">
        <f t="shared" si="527"/>
        <v>3800</v>
      </c>
      <c r="AH284" s="416">
        <f t="shared" si="527"/>
        <v>12</v>
      </c>
      <c r="AI284" s="416">
        <f t="shared" si="527"/>
        <v>3800</v>
      </c>
      <c r="AJ284" s="378">
        <f t="shared" si="527"/>
        <v>3800</v>
      </c>
      <c r="AK284" s="416">
        <f t="shared" si="527"/>
        <v>200</v>
      </c>
      <c r="AL284" s="378">
        <f t="shared" si="527"/>
        <v>200</v>
      </c>
      <c r="AM284" s="378">
        <f t="shared" si="527"/>
        <v>0</v>
      </c>
      <c r="AN284" s="378">
        <f t="shared" si="527"/>
        <v>200</v>
      </c>
      <c r="AO284" s="378">
        <f t="shared" si="527"/>
        <v>0</v>
      </c>
      <c r="AP284" s="378">
        <f t="shared" si="527"/>
        <v>0</v>
      </c>
      <c r="AQ284" s="47"/>
      <c r="AR284" s="48"/>
      <c r="AS284" s="49"/>
    </row>
    <row r="285" spans="1:45" s="50" customFormat="1" ht="59.45" customHeight="1">
      <c r="B285" s="237">
        <v>1</v>
      </c>
      <c r="C285" s="125" t="s">
        <v>777</v>
      </c>
      <c r="D285" s="123">
        <v>1</v>
      </c>
      <c r="E285" s="47"/>
      <c r="F285" s="47"/>
      <c r="G285" s="130">
        <v>1</v>
      </c>
      <c r="H285" s="47">
        <f>G285*AL285</f>
        <v>200</v>
      </c>
      <c r="I285" s="47"/>
      <c r="J285" s="47"/>
      <c r="K285" s="47"/>
      <c r="L285" s="130">
        <v>1</v>
      </c>
      <c r="M285" s="88"/>
      <c r="N285" s="39" t="s">
        <v>108</v>
      </c>
      <c r="O285" s="39" t="s">
        <v>473</v>
      </c>
      <c r="P285" s="39" t="s">
        <v>474</v>
      </c>
      <c r="Q285" s="39">
        <v>7934540</v>
      </c>
      <c r="R285" s="122"/>
      <c r="S285" s="122"/>
      <c r="T285" s="90" t="s">
        <v>116</v>
      </c>
      <c r="U285" s="90"/>
      <c r="V285" s="90" t="s">
        <v>489</v>
      </c>
      <c r="W285" s="62">
        <v>6105</v>
      </c>
      <c r="X285" s="264"/>
      <c r="Y285" s="62">
        <v>6105</v>
      </c>
      <c r="Z285" s="235"/>
      <c r="AA285" s="62">
        <v>4000</v>
      </c>
      <c r="AB285" s="235"/>
      <c r="AC285" s="265">
        <v>4000</v>
      </c>
      <c r="AD285" s="235"/>
      <c r="AE285" s="235"/>
      <c r="AF285" s="235"/>
      <c r="AG285" s="265">
        <v>3800</v>
      </c>
      <c r="AH285" s="221">
        <v>12</v>
      </c>
      <c r="AI285" s="265">
        <v>3800</v>
      </c>
      <c r="AJ285" s="47">
        <f>AF285+AI285</f>
        <v>3800</v>
      </c>
      <c r="AK285" s="265">
        <v>200</v>
      </c>
      <c r="AL285" s="47">
        <f>AM285+AN285+AO285</f>
        <v>200</v>
      </c>
      <c r="AM285" s="43"/>
      <c r="AN285" s="62">
        <v>200</v>
      </c>
      <c r="AO285" s="43"/>
      <c r="AP285" s="43"/>
      <c r="AQ285" s="47"/>
      <c r="AR285" s="48">
        <f>AA285-(AF285+AI285+AL285)</f>
        <v>0</v>
      </c>
      <c r="AS285" s="49" t="e">
        <f>#REF!-AL285</f>
        <v>#REF!</v>
      </c>
    </row>
    <row r="286" spans="1:45" s="50" customFormat="1" ht="39" customHeight="1">
      <c r="B286" s="237"/>
      <c r="C286" s="340" t="s">
        <v>962</v>
      </c>
      <c r="D286" s="445">
        <f t="shared" ref="D286:J286" si="528">D287+D288+D289</f>
        <v>3</v>
      </c>
      <c r="E286" s="378">
        <f t="shared" si="528"/>
        <v>0</v>
      </c>
      <c r="F286" s="378">
        <f t="shared" si="528"/>
        <v>0</v>
      </c>
      <c r="G286" s="378">
        <f t="shared" si="528"/>
        <v>3</v>
      </c>
      <c r="H286" s="378">
        <f t="shared" si="528"/>
        <v>5300</v>
      </c>
      <c r="I286" s="378">
        <f t="shared" si="528"/>
        <v>0</v>
      </c>
      <c r="J286" s="378">
        <f t="shared" si="528"/>
        <v>0</v>
      </c>
      <c r="K286" s="47"/>
      <c r="L286" s="47"/>
      <c r="M286" s="88"/>
      <c r="N286" s="39"/>
      <c r="O286" s="39"/>
      <c r="P286" s="39"/>
      <c r="Q286" s="41"/>
      <c r="R286" s="39"/>
      <c r="S286" s="39"/>
      <c r="T286" s="90"/>
      <c r="U286" s="90"/>
      <c r="V286" s="90"/>
      <c r="W286" s="378">
        <f>W287+W288+W289</f>
        <v>17916</v>
      </c>
      <c r="X286" s="264"/>
      <c r="Y286" s="378">
        <f t="shared" ref="Y286:AP286" si="529">Y287+Y288+Y289</f>
        <v>17873</v>
      </c>
      <c r="Z286" s="378">
        <f t="shared" si="529"/>
        <v>0</v>
      </c>
      <c r="AA286" s="378">
        <f t="shared" si="529"/>
        <v>9100</v>
      </c>
      <c r="AB286" s="416">
        <f t="shared" si="529"/>
        <v>0</v>
      </c>
      <c r="AC286" s="416">
        <f t="shared" si="529"/>
        <v>9100</v>
      </c>
      <c r="AD286" s="416">
        <f t="shared" si="529"/>
        <v>0</v>
      </c>
      <c r="AE286" s="416">
        <f t="shared" si="529"/>
        <v>0</v>
      </c>
      <c r="AF286" s="416">
        <f t="shared" si="529"/>
        <v>0</v>
      </c>
      <c r="AG286" s="416">
        <f t="shared" si="529"/>
        <v>6200</v>
      </c>
      <c r="AH286" s="416">
        <f t="shared" si="529"/>
        <v>0</v>
      </c>
      <c r="AI286" s="416">
        <f t="shared" si="529"/>
        <v>3800</v>
      </c>
      <c r="AJ286" s="378">
        <f t="shared" si="529"/>
        <v>3800</v>
      </c>
      <c r="AK286" s="416">
        <f t="shared" si="529"/>
        <v>5300</v>
      </c>
      <c r="AL286" s="378">
        <f t="shared" si="529"/>
        <v>5300</v>
      </c>
      <c r="AM286" s="378">
        <f t="shared" si="529"/>
        <v>0</v>
      </c>
      <c r="AN286" s="378">
        <f t="shared" si="529"/>
        <v>5300</v>
      </c>
      <c r="AO286" s="378">
        <f t="shared" si="529"/>
        <v>0</v>
      </c>
      <c r="AP286" s="378">
        <f t="shared" si="529"/>
        <v>0</v>
      </c>
      <c r="AQ286" s="47"/>
      <c r="AR286" s="48"/>
      <c r="AS286" s="49"/>
    </row>
    <row r="287" spans="1:45" s="50" customFormat="1" ht="66" customHeight="1">
      <c r="A287" s="50" t="s">
        <v>749</v>
      </c>
      <c r="B287" s="237">
        <v>1</v>
      </c>
      <c r="C287" s="274" t="s">
        <v>876</v>
      </c>
      <c r="D287" s="93">
        <v>1</v>
      </c>
      <c r="E287" s="47"/>
      <c r="F287" s="47"/>
      <c r="G287" s="47">
        <v>1</v>
      </c>
      <c r="H287" s="47">
        <f>G287*AL287</f>
        <v>2700</v>
      </c>
      <c r="I287" s="47"/>
      <c r="J287" s="47"/>
      <c r="K287" s="47"/>
      <c r="L287" s="47">
        <v>1</v>
      </c>
      <c r="M287" s="88"/>
      <c r="N287" s="39" t="s">
        <v>431</v>
      </c>
      <c r="O287" s="39" t="s">
        <v>432</v>
      </c>
      <c r="P287" s="39" t="s">
        <v>422</v>
      </c>
      <c r="Q287" s="41" t="s">
        <v>435</v>
      </c>
      <c r="R287" s="122"/>
      <c r="S287" s="122"/>
      <c r="T287" s="90" t="s">
        <v>114</v>
      </c>
      <c r="U287" s="90"/>
      <c r="V287" s="90" t="s">
        <v>436</v>
      </c>
      <c r="W287" s="62">
        <v>4100</v>
      </c>
      <c r="X287" s="275"/>
      <c r="Y287" s="62">
        <v>4100</v>
      </c>
      <c r="Z287" s="235"/>
      <c r="AA287" s="266">
        <f t="shared" ref="AA287:AA288" si="530">AB287+AC287+AD287+AE287</f>
        <v>4100</v>
      </c>
      <c r="AB287" s="235"/>
      <c r="AC287" s="265">
        <v>4100</v>
      </c>
      <c r="AD287" s="235"/>
      <c r="AE287" s="235"/>
      <c r="AF287" s="235"/>
      <c r="AG287" s="265">
        <v>3000</v>
      </c>
      <c r="AH287" s="265"/>
      <c r="AI287" s="265">
        <v>1400</v>
      </c>
      <c r="AJ287" s="47">
        <f t="shared" ref="AJ287:AJ289" si="531">AF287+AI287</f>
        <v>1400</v>
      </c>
      <c r="AK287" s="265">
        <v>2700</v>
      </c>
      <c r="AL287" s="47">
        <f>AM287+AN287+AO287+AP287</f>
        <v>2700</v>
      </c>
      <c r="AM287" s="43"/>
      <c r="AN287" s="66">
        <v>2700</v>
      </c>
      <c r="AO287" s="43"/>
      <c r="AP287" s="43"/>
      <c r="AQ287" s="93"/>
    </row>
    <row r="288" spans="1:45" s="50" customFormat="1" ht="86.25" customHeight="1">
      <c r="A288" s="50" t="s">
        <v>749</v>
      </c>
      <c r="B288" s="237">
        <v>2</v>
      </c>
      <c r="C288" s="274" t="s">
        <v>877</v>
      </c>
      <c r="D288" s="93">
        <v>1</v>
      </c>
      <c r="E288" s="47"/>
      <c r="F288" s="47"/>
      <c r="G288" s="47">
        <v>1</v>
      </c>
      <c r="H288" s="47">
        <f>G288*AL288</f>
        <v>1600</v>
      </c>
      <c r="I288" s="47"/>
      <c r="J288" s="47"/>
      <c r="K288" s="47"/>
      <c r="L288" s="47">
        <v>1</v>
      </c>
      <c r="M288" s="88"/>
      <c r="N288" s="39" t="s">
        <v>431</v>
      </c>
      <c r="O288" s="39" t="s">
        <v>432</v>
      </c>
      <c r="P288" s="39" t="s">
        <v>422</v>
      </c>
      <c r="Q288" s="41" t="s">
        <v>433</v>
      </c>
      <c r="R288" s="39"/>
      <c r="S288" s="39"/>
      <c r="T288" s="90" t="s">
        <v>114</v>
      </c>
      <c r="U288" s="90"/>
      <c r="V288" s="90" t="s">
        <v>434</v>
      </c>
      <c r="W288" s="62">
        <v>2443</v>
      </c>
      <c r="X288" s="264"/>
      <c r="Y288" s="62">
        <v>2400</v>
      </c>
      <c r="Z288" s="235"/>
      <c r="AA288" s="266">
        <f t="shared" si="530"/>
        <v>2400</v>
      </c>
      <c r="AB288" s="235"/>
      <c r="AC288" s="265">
        <v>2400</v>
      </c>
      <c r="AD288" s="235"/>
      <c r="AE288" s="235"/>
      <c r="AF288" s="235"/>
      <c r="AG288" s="265">
        <v>1600</v>
      </c>
      <c r="AH288" s="265"/>
      <c r="AI288" s="265">
        <v>800</v>
      </c>
      <c r="AJ288" s="47">
        <f t="shared" si="531"/>
        <v>800</v>
      </c>
      <c r="AK288" s="265">
        <v>1600</v>
      </c>
      <c r="AL288" s="47">
        <f>AM288+AN288+AO288+AP288</f>
        <v>1600</v>
      </c>
      <c r="AM288" s="43"/>
      <c r="AN288" s="62">
        <v>1600</v>
      </c>
      <c r="AO288" s="43"/>
      <c r="AP288" s="43"/>
      <c r="AQ288" s="331"/>
    </row>
    <row r="289" spans="1:45" s="50" customFormat="1" ht="87" customHeight="1">
      <c r="B289" s="237">
        <v>3</v>
      </c>
      <c r="C289" s="274" t="s">
        <v>878</v>
      </c>
      <c r="D289" s="93">
        <v>1</v>
      </c>
      <c r="E289" s="47"/>
      <c r="F289" s="47"/>
      <c r="G289" s="47">
        <v>1</v>
      </c>
      <c r="H289" s="47">
        <f>G289*AL289</f>
        <v>1000</v>
      </c>
      <c r="I289" s="47"/>
      <c r="J289" s="47"/>
      <c r="K289" s="47"/>
      <c r="L289" s="47">
        <v>1</v>
      </c>
      <c r="M289" s="88"/>
      <c r="N289" s="39" t="s">
        <v>431</v>
      </c>
      <c r="O289" s="39" t="s">
        <v>432</v>
      </c>
      <c r="P289" s="39" t="s">
        <v>422</v>
      </c>
      <c r="Q289" s="39">
        <v>7927551</v>
      </c>
      <c r="R289" s="39"/>
      <c r="S289" s="39"/>
      <c r="T289" s="90" t="s">
        <v>115</v>
      </c>
      <c r="U289" s="90"/>
      <c r="V289" s="97" t="s">
        <v>776</v>
      </c>
      <c r="W289" s="62">
        <v>11373</v>
      </c>
      <c r="X289" s="264"/>
      <c r="Y289" s="62">
        <v>11373</v>
      </c>
      <c r="Z289" s="235"/>
      <c r="AA289" s="62">
        <v>2600</v>
      </c>
      <c r="AB289" s="235"/>
      <c r="AC289" s="265">
        <v>2600</v>
      </c>
      <c r="AD289" s="235"/>
      <c r="AE289" s="235"/>
      <c r="AF289" s="235"/>
      <c r="AG289" s="265">
        <v>1600</v>
      </c>
      <c r="AH289" s="265"/>
      <c r="AI289" s="265">
        <v>1600</v>
      </c>
      <c r="AJ289" s="47">
        <f t="shared" si="531"/>
        <v>1600</v>
      </c>
      <c r="AK289" s="265">
        <v>1000</v>
      </c>
      <c r="AL289" s="47">
        <f t="shared" ref="AL289" si="532">AM289+AN289+AO289</f>
        <v>1000</v>
      </c>
      <c r="AM289" s="43"/>
      <c r="AN289" s="62">
        <v>1000</v>
      </c>
      <c r="AO289" s="43"/>
      <c r="AP289" s="43"/>
      <c r="AQ289" s="47"/>
      <c r="AR289" s="48">
        <f>AA289-(AF289+AI289+AL289)</f>
        <v>0</v>
      </c>
      <c r="AS289" s="49" t="e">
        <f>#REF!-AL289</f>
        <v>#REF!</v>
      </c>
    </row>
    <row r="290" spans="1:45" s="50" customFormat="1" ht="33.6" customHeight="1">
      <c r="B290" s="36" t="s">
        <v>135</v>
      </c>
      <c r="C290" s="340" t="s">
        <v>120</v>
      </c>
      <c r="D290" s="247">
        <f t="shared" ref="D290:J290" si="533">D291</f>
        <v>7</v>
      </c>
      <c r="E290" s="43">
        <f t="shared" si="533"/>
        <v>7</v>
      </c>
      <c r="F290" s="43">
        <f t="shared" si="533"/>
        <v>16900</v>
      </c>
      <c r="G290" s="43">
        <f t="shared" si="533"/>
        <v>0</v>
      </c>
      <c r="H290" s="43">
        <f t="shared" si="533"/>
        <v>0</v>
      </c>
      <c r="I290" s="43">
        <f t="shared" si="533"/>
        <v>0</v>
      </c>
      <c r="J290" s="43">
        <f t="shared" si="533"/>
        <v>0</v>
      </c>
      <c r="K290" s="43">
        <f t="shared" ref="K290:M290" si="534">K291</f>
        <v>0</v>
      </c>
      <c r="L290" s="43">
        <f t="shared" si="534"/>
        <v>2</v>
      </c>
      <c r="M290" s="43">
        <f t="shared" si="534"/>
        <v>0</v>
      </c>
      <c r="N290" s="39"/>
      <c r="O290" s="39"/>
      <c r="P290" s="39"/>
      <c r="Q290" s="39"/>
      <c r="R290" s="39"/>
      <c r="S290" s="39"/>
      <c r="T290" s="39"/>
      <c r="U290" s="39"/>
      <c r="V290" s="39"/>
      <c r="W290" s="43">
        <f t="shared" ref="W290" si="535">W291</f>
        <v>41803</v>
      </c>
      <c r="X290" s="235">
        <f t="shared" ref="X290" si="536">X291</f>
        <v>0</v>
      </c>
      <c r="Y290" s="43">
        <f t="shared" ref="Y290" si="537">Y291</f>
        <v>30165</v>
      </c>
      <c r="Z290" s="235">
        <f t="shared" ref="Z290" si="538">Z291</f>
        <v>0</v>
      </c>
      <c r="AA290" s="43">
        <f t="shared" ref="AA290:AJ290" si="539">AA291</f>
        <v>23700</v>
      </c>
      <c r="AB290" s="235">
        <f t="shared" si="539"/>
        <v>0</v>
      </c>
      <c r="AC290" s="235">
        <f t="shared" si="539"/>
        <v>23700</v>
      </c>
      <c r="AD290" s="235">
        <f t="shared" si="539"/>
        <v>0</v>
      </c>
      <c r="AE290" s="235">
        <f t="shared" si="539"/>
        <v>0</v>
      </c>
      <c r="AF290" s="235">
        <f t="shared" si="539"/>
        <v>0</v>
      </c>
      <c r="AG290" s="235">
        <f t="shared" si="539"/>
        <v>3000</v>
      </c>
      <c r="AH290" s="235">
        <f t="shared" si="539"/>
        <v>0</v>
      </c>
      <c r="AI290" s="235">
        <f t="shared" si="539"/>
        <v>400</v>
      </c>
      <c r="AJ290" s="43">
        <f t="shared" si="539"/>
        <v>400</v>
      </c>
      <c r="AK290" s="235">
        <f t="shared" ref="AK290" si="540">AK291</f>
        <v>16900</v>
      </c>
      <c r="AL290" s="43">
        <f t="shared" ref="AL290" si="541">AL291</f>
        <v>16900</v>
      </c>
      <c r="AM290" s="43">
        <f t="shared" ref="AM290" si="542">AM291</f>
        <v>0</v>
      </c>
      <c r="AN290" s="43">
        <f t="shared" ref="AN290" si="543">AN291</f>
        <v>16900</v>
      </c>
      <c r="AO290" s="43">
        <f t="shared" ref="AO290" si="544">AO291</f>
        <v>0</v>
      </c>
      <c r="AP290" s="43"/>
      <c r="AQ290" s="47"/>
      <c r="AR290" s="48">
        <f>AA290-(AF290+AI290+AL290)</f>
        <v>6400</v>
      </c>
      <c r="AS290" s="49" t="e">
        <f>#REF!-AL290</f>
        <v>#REF!</v>
      </c>
    </row>
    <row r="291" spans="1:45" s="133" customFormat="1" ht="27" customHeight="1">
      <c r="B291" s="129" t="s">
        <v>232</v>
      </c>
      <c r="C291" s="348" t="s">
        <v>119</v>
      </c>
      <c r="D291" s="439">
        <f t="shared" ref="D291:J291" si="545">D297+D301+D302+D293+D294+D295+D299</f>
        <v>7</v>
      </c>
      <c r="E291" s="69">
        <f t="shared" si="545"/>
        <v>7</v>
      </c>
      <c r="F291" s="69">
        <f t="shared" si="545"/>
        <v>16900</v>
      </c>
      <c r="G291" s="69">
        <f t="shared" si="545"/>
        <v>0</v>
      </c>
      <c r="H291" s="69">
        <f t="shared" si="545"/>
        <v>0</v>
      </c>
      <c r="I291" s="69">
        <f t="shared" si="545"/>
        <v>0</v>
      </c>
      <c r="J291" s="69">
        <f t="shared" si="545"/>
        <v>0</v>
      </c>
      <c r="K291" s="69">
        <f>SUM(K301:K302)</f>
        <v>0</v>
      </c>
      <c r="L291" s="69">
        <f>SUM(L301:L302)</f>
        <v>2</v>
      </c>
      <c r="M291" s="69">
        <f>SUM(M301:M302)</f>
        <v>0</v>
      </c>
      <c r="N291" s="122"/>
      <c r="O291" s="122"/>
      <c r="P291" s="122"/>
      <c r="Q291" s="122"/>
      <c r="R291" s="122"/>
      <c r="S291" s="122"/>
      <c r="T291" s="122"/>
      <c r="U291" s="122"/>
      <c r="V291" s="122"/>
      <c r="W291" s="69">
        <f>W292+W296+W298+W300</f>
        <v>41803</v>
      </c>
      <c r="X291" s="69">
        <f t="shared" ref="X291:AP291" si="546">X297+X301+X302+X293+X294+X295+X299</f>
        <v>0</v>
      </c>
      <c r="Y291" s="69">
        <f t="shared" si="546"/>
        <v>30165</v>
      </c>
      <c r="Z291" s="69">
        <f t="shared" si="546"/>
        <v>0</v>
      </c>
      <c r="AA291" s="69">
        <f t="shared" si="546"/>
        <v>23700</v>
      </c>
      <c r="AB291" s="236">
        <f t="shared" si="546"/>
        <v>0</v>
      </c>
      <c r="AC291" s="236">
        <f t="shared" si="546"/>
        <v>23700</v>
      </c>
      <c r="AD291" s="236">
        <f t="shared" si="546"/>
        <v>0</v>
      </c>
      <c r="AE291" s="236">
        <f t="shared" si="546"/>
        <v>0</v>
      </c>
      <c r="AF291" s="236">
        <f t="shared" si="546"/>
        <v>0</v>
      </c>
      <c r="AG291" s="236">
        <f t="shared" si="546"/>
        <v>3000</v>
      </c>
      <c r="AH291" s="236">
        <f t="shared" si="546"/>
        <v>0</v>
      </c>
      <c r="AI291" s="236">
        <f t="shared" si="546"/>
        <v>400</v>
      </c>
      <c r="AJ291" s="69">
        <f t="shared" si="546"/>
        <v>400</v>
      </c>
      <c r="AK291" s="236">
        <f t="shared" si="546"/>
        <v>16900</v>
      </c>
      <c r="AL291" s="69">
        <f t="shared" si="546"/>
        <v>16900</v>
      </c>
      <c r="AM291" s="69">
        <f t="shared" si="546"/>
        <v>0</v>
      </c>
      <c r="AN291" s="69">
        <f t="shared" si="546"/>
        <v>16900</v>
      </c>
      <c r="AO291" s="69">
        <f t="shared" si="546"/>
        <v>0</v>
      </c>
      <c r="AP291" s="69">
        <f t="shared" si="546"/>
        <v>0</v>
      </c>
      <c r="AQ291" s="130"/>
      <c r="AR291" s="131">
        <f>AA291-(AF291+AI291+AL291)</f>
        <v>6400</v>
      </c>
      <c r="AS291" s="132" t="e">
        <f>#REF!-AL291</f>
        <v>#REF!</v>
      </c>
    </row>
    <row r="292" spans="1:45" s="50" customFormat="1" ht="32.450000000000003" customHeight="1">
      <c r="B292" s="237"/>
      <c r="C292" s="340" t="s">
        <v>953</v>
      </c>
      <c r="D292" s="446">
        <f t="shared" ref="D292:J292" si="547">D293+D294+D295</f>
        <v>3</v>
      </c>
      <c r="E292" s="381">
        <f t="shared" si="547"/>
        <v>3</v>
      </c>
      <c r="F292" s="381">
        <f t="shared" si="547"/>
        <v>9500</v>
      </c>
      <c r="G292" s="381">
        <f t="shared" si="547"/>
        <v>0</v>
      </c>
      <c r="H292" s="381">
        <f t="shared" si="547"/>
        <v>0</v>
      </c>
      <c r="I292" s="381">
        <f t="shared" si="547"/>
        <v>0</v>
      </c>
      <c r="J292" s="381">
        <f t="shared" si="547"/>
        <v>0</v>
      </c>
      <c r="K292" s="47"/>
      <c r="L292" s="47"/>
      <c r="M292" s="88"/>
      <c r="N292" s="39"/>
      <c r="O292" s="39"/>
      <c r="P292" s="39"/>
      <c r="Q292" s="99"/>
      <c r="R292" s="39"/>
      <c r="S292" s="39"/>
      <c r="T292" s="126"/>
      <c r="U292" s="118"/>
      <c r="V292" s="118"/>
      <c r="W292" s="381">
        <f>W293+W294+W295</f>
        <v>14954</v>
      </c>
      <c r="X292" s="218"/>
      <c r="Y292" s="381">
        <f t="shared" ref="Y292:AP292" si="548">Y293+Y294+Y295</f>
        <v>12506</v>
      </c>
      <c r="Z292" s="381">
        <f t="shared" si="548"/>
        <v>0</v>
      </c>
      <c r="AA292" s="381">
        <f t="shared" si="548"/>
        <v>9500</v>
      </c>
      <c r="AB292" s="417">
        <f t="shared" si="548"/>
        <v>0</v>
      </c>
      <c r="AC292" s="417">
        <f t="shared" si="548"/>
        <v>9500</v>
      </c>
      <c r="AD292" s="417">
        <f t="shared" si="548"/>
        <v>0</v>
      </c>
      <c r="AE292" s="417">
        <f t="shared" si="548"/>
        <v>0</v>
      </c>
      <c r="AF292" s="417">
        <f t="shared" si="548"/>
        <v>0</v>
      </c>
      <c r="AG292" s="417">
        <f t="shared" si="548"/>
        <v>0</v>
      </c>
      <c r="AH292" s="417">
        <f t="shared" si="548"/>
        <v>0</v>
      </c>
      <c r="AI292" s="417">
        <f t="shared" si="548"/>
        <v>0</v>
      </c>
      <c r="AJ292" s="381">
        <f t="shared" si="548"/>
        <v>0</v>
      </c>
      <c r="AK292" s="417">
        <f t="shared" si="548"/>
        <v>9500</v>
      </c>
      <c r="AL292" s="381">
        <f t="shared" si="548"/>
        <v>9500</v>
      </c>
      <c r="AM292" s="381">
        <f t="shared" si="548"/>
        <v>0</v>
      </c>
      <c r="AN292" s="381">
        <f t="shared" si="548"/>
        <v>9500</v>
      </c>
      <c r="AO292" s="381">
        <f t="shared" si="548"/>
        <v>0</v>
      </c>
      <c r="AP292" s="381">
        <f t="shared" si="548"/>
        <v>0</v>
      </c>
      <c r="AQ292" s="47"/>
      <c r="AR292" s="48"/>
      <c r="AS292" s="49"/>
    </row>
    <row r="293" spans="1:45" s="50" customFormat="1" ht="67.5" customHeight="1">
      <c r="A293" s="50" t="s">
        <v>749</v>
      </c>
      <c r="B293" s="237">
        <v>1</v>
      </c>
      <c r="C293" s="345" t="s">
        <v>880</v>
      </c>
      <c r="D293" s="93">
        <v>1</v>
      </c>
      <c r="E293" s="47">
        <v>1</v>
      </c>
      <c r="F293" s="119">
        <f>E293*AL293</f>
        <v>5500</v>
      </c>
      <c r="G293" s="47"/>
      <c r="H293" s="47"/>
      <c r="I293" s="47"/>
      <c r="J293" s="47"/>
      <c r="K293" s="47"/>
      <c r="L293" s="47">
        <v>1</v>
      </c>
      <c r="M293" s="88"/>
      <c r="N293" s="39" t="s">
        <v>222</v>
      </c>
      <c r="O293" s="39" t="s">
        <v>302</v>
      </c>
      <c r="P293" s="39" t="s">
        <v>303</v>
      </c>
      <c r="Q293" s="41" t="s">
        <v>659</v>
      </c>
      <c r="R293" s="39"/>
      <c r="S293" s="39"/>
      <c r="T293" s="90" t="s">
        <v>116</v>
      </c>
      <c r="U293" s="118" t="s">
        <v>523</v>
      </c>
      <c r="V293" s="90" t="s">
        <v>772</v>
      </c>
      <c r="W293" s="62">
        <v>6571</v>
      </c>
      <c r="X293" s="218"/>
      <c r="Y293" s="62">
        <v>6571</v>
      </c>
      <c r="Z293" s="235"/>
      <c r="AA293" s="47">
        <f>AB293+AC293+AD293+AE293</f>
        <v>5500</v>
      </c>
      <c r="AB293" s="235"/>
      <c r="AC293" s="418">
        <v>5500</v>
      </c>
      <c r="AD293" s="235"/>
      <c r="AE293" s="235"/>
      <c r="AF293" s="235"/>
      <c r="AG293" s="235"/>
      <c r="AH293" s="235"/>
      <c r="AI293" s="235"/>
      <c r="AJ293" s="47">
        <f>AF293+AI293</f>
        <v>0</v>
      </c>
      <c r="AK293" s="418">
        <v>5500</v>
      </c>
      <c r="AL293" s="47">
        <f>AM293+AN293+AO293+AP293</f>
        <v>5500</v>
      </c>
      <c r="AM293" s="43"/>
      <c r="AN293" s="67">
        <v>5500</v>
      </c>
      <c r="AO293" s="43"/>
      <c r="AP293" s="43"/>
      <c r="AQ293" s="47"/>
      <c r="AR293" s="48">
        <f>AA293-(AF293+AI293+AL293)</f>
        <v>0</v>
      </c>
      <c r="AS293" s="49" t="e">
        <f>#REF!-AL293</f>
        <v>#REF!</v>
      </c>
    </row>
    <row r="294" spans="1:45" s="50" customFormat="1" ht="60" customHeight="1">
      <c r="A294" s="50" t="s">
        <v>749</v>
      </c>
      <c r="B294" s="237">
        <v>2</v>
      </c>
      <c r="C294" s="345" t="s">
        <v>881</v>
      </c>
      <c r="D294" s="93">
        <v>1</v>
      </c>
      <c r="E294" s="47">
        <v>1</v>
      </c>
      <c r="F294" s="119">
        <f>E294*AL294</f>
        <v>2000</v>
      </c>
      <c r="G294" s="47"/>
      <c r="H294" s="47"/>
      <c r="I294" s="47"/>
      <c r="J294" s="47"/>
      <c r="K294" s="47"/>
      <c r="L294" s="47">
        <v>1</v>
      </c>
      <c r="M294" s="88"/>
      <c r="N294" s="39" t="s">
        <v>222</v>
      </c>
      <c r="O294" s="39" t="s">
        <v>302</v>
      </c>
      <c r="P294" s="39" t="s">
        <v>303</v>
      </c>
      <c r="Q294" s="39"/>
      <c r="R294" s="39"/>
      <c r="S294" s="39"/>
      <c r="T294" s="90" t="s">
        <v>116</v>
      </c>
      <c r="U294" s="118" t="s">
        <v>524</v>
      </c>
      <c r="V294" s="90" t="s">
        <v>525</v>
      </c>
      <c r="W294" s="62">
        <v>4448</v>
      </c>
      <c r="X294" s="218"/>
      <c r="Y294" s="67">
        <v>2000</v>
      </c>
      <c r="Z294" s="235"/>
      <c r="AA294" s="47">
        <f t="shared" ref="AA294:AA295" si="549">AB294+AC294+AD294+AE294</f>
        <v>2000</v>
      </c>
      <c r="AB294" s="235"/>
      <c r="AC294" s="418">
        <v>2000</v>
      </c>
      <c r="AD294" s="235"/>
      <c r="AE294" s="235"/>
      <c r="AF294" s="235"/>
      <c r="AG294" s="235"/>
      <c r="AH294" s="235"/>
      <c r="AI294" s="235"/>
      <c r="AJ294" s="47">
        <f>AF294+AI294</f>
        <v>0</v>
      </c>
      <c r="AK294" s="418">
        <v>2000</v>
      </c>
      <c r="AL294" s="47">
        <f t="shared" ref="AL294:AL295" si="550">AM294+AN294+AO294+AP294</f>
        <v>2000</v>
      </c>
      <c r="AM294" s="43"/>
      <c r="AN294" s="67">
        <v>2000</v>
      </c>
      <c r="AO294" s="43"/>
      <c r="AP294" s="43"/>
      <c r="AQ294" s="47"/>
      <c r="AR294" s="48">
        <f>AA294-(AF294+AI294+AL294)</f>
        <v>0</v>
      </c>
      <c r="AS294" s="49" t="e">
        <f>#REF!-AL294</f>
        <v>#REF!</v>
      </c>
    </row>
    <row r="295" spans="1:45" s="50" customFormat="1" ht="60" customHeight="1">
      <c r="A295" s="50" t="s">
        <v>749</v>
      </c>
      <c r="B295" s="237">
        <v>3</v>
      </c>
      <c r="C295" s="345" t="s">
        <v>882</v>
      </c>
      <c r="D295" s="93">
        <v>1</v>
      </c>
      <c r="E295" s="47">
        <v>1</v>
      </c>
      <c r="F295" s="119">
        <f>E295*AL295</f>
        <v>2000</v>
      </c>
      <c r="G295" s="47"/>
      <c r="H295" s="47"/>
      <c r="I295" s="47"/>
      <c r="J295" s="47"/>
      <c r="K295" s="47"/>
      <c r="L295" s="47">
        <v>1</v>
      </c>
      <c r="M295" s="88"/>
      <c r="N295" s="39" t="s">
        <v>222</v>
      </c>
      <c r="O295" s="39" t="s">
        <v>302</v>
      </c>
      <c r="P295" s="39" t="s">
        <v>303</v>
      </c>
      <c r="Q295" s="39" t="s">
        <v>660</v>
      </c>
      <c r="R295" s="39"/>
      <c r="S295" s="39"/>
      <c r="T295" s="90" t="s">
        <v>116</v>
      </c>
      <c r="U295" s="118" t="s">
        <v>526</v>
      </c>
      <c r="V295" s="90" t="s">
        <v>527</v>
      </c>
      <c r="W295" s="62">
        <v>3935</v>
      </c>
      <c r="X295" s="218"/>
      <c r="Y295" s="62">
        <v>3935</v>
      </c>
      <c r="Z295" s="235"/>
      <c r="AA295" s="47">
        <f t="shared" si="549"/>
        <v>2000</v>
      </c>
      <c r="AB295" s="235"/>
      <c r="AC295" s="217">
        <v>2000</v>
      </c>
      <c r="AD295" s="235"/>
      <c r="AE295" s="235"/>
      <c r="AF295" s="235"/>
      <c r="AG295" s="235"/>
      <c r="AH295" s="235"/>
      <c r="AI295" s="235"/>
      <c r="AJ295" s="47">
        <f>AF295+AI295</f>
        <v>0</v>
      </c>
      <c r="AK295" s="217">
        <v>2000</v>
      </c>
      <c r="AL295" s="47">
        <f t="shared" si="550"/>
        <v>2000</v>
      </c>
      <c r="AM295" s="43"/>
      <c r="AN295" s="46">
        <v>2000</v>
      </c>
      <c r="AO295" s="43"/>
      <c r="AP295" s="43"/>
      <c r="AQ295" s="47"/>
      <c r="AR295" s="48">
        <f>AA295-(AF295+AI295+AL295)</f>
        <v>0</v>
      </c>
      <c r="AS295" s="49" t="e">
        <f>#REF!-AL295</f>
        <v>#REF!</v>
      </c>
    </row>
    <row r="296" spans="1:45" s="133" customFormat="1" ht="36.950000000000003" customHeight="1">
      <c r="B296" s="129"/>
      <c r="C296" s="340" t="s">
        <v>956</v>
      </c>
      <c r="D296" s="247">
        <f t="shared" ref="D296:J296" si="551">D297</f>
        <v>1</v>
      </c>
      <c r="E296" s="43">
        <f t="shared" si="551"/>
        <v>1</v>
      </c>
      <c r="F296" s="43">
        <f t="shared" si="551"/>
        <v>2000</v>
      </c>
      <c r="G296" s="43">
        <f t="shared" si="551"/>
        <v>0</v>
      </c>
      <c r="H296" s="43">
        <f t="shared" si="551"/>
        <v>0</v>
      </c>
      <c r="I296" s="43">
        <f t="shared" si="551"/>
        <v>0</v>
      </c>
      <c r="J296" s="43">
        <f t="shared" si="551"/>
        <v>0</v>
      </c>
      <c r="K296" s="69"/>
      <c r="L296" s="69"/>
      <c r="M296" s="69"/>
      <c r="N296" s="122"/>
      <c r="O296" s="122"/>
      <c r="P296" s="122"/>
      <c r="Q296" s="122"/>
      <c r="R296" s="122"/>
      <c r="S296" s="122"/>
      <c r="T296" s="122"/>
      <c r="U296" s="122"/>
      <c r="V296" s="122"/>
      <c r="W296" s="43">
        <f>W297</f>
        <v>14190</v>
      </c>
      <c r="X296" s="69"/>
      <c r="Y296" s="43">
        <f t="shared" ref="Y296:AP296" si="552">Y297</f>
        <v>5000</v>
      </c>
      <c r="Z296" s="43">
        <f t="shared" si="552"/>
        <v>0</v>
      </c>
      <c r="AA296" s="43">
        <f t="shared" si="552"/>
        <v>5000</v>
      </c>
      <c r="AB296" s="235">
        <f t="shared" si="552"/>
        <v>0</v>
      </c>
      <c r="AC296" s="235">
        <f t="shared" si="552"/>
        <v>5000</v>
      </c>
      <c r="AD296" s="235">
        <f t="shared" si="552"/>
        <v>0</v>
      </c>
      <c r="AE296" s="235">
        <f t="shared" si="552"/>
        <v>0</v>
      </c>
      <c r="AF296" s="235">
        <f t="shared" si="552"/>
        <v>0</v>
      </c>
      <c r="AG296" s="235">
        <f t="shared" si="552"/>
        <v>3000</v>
      </c>
      <c r="AH296" s="235">
        <f t="shared" si="552"/>
        <v>0</v>
      </c>
      <c r="AI296" s="235">
        <f t="shared" si="552"/>
        <v>400</v>
      </c>
      <c r="AJ296" s="43">
        <f t="shared" si="552"/>
        <v>400</v>
      </c>
      <c r="AK296" s="235">
        <f t="shared" si="552"/>
        <v>2000</v>
      </c>
      <c r="AL296" s="43">
        <f t="shared" si="552"/>
        <v>2000</v>
      </c>
      <c r="AM296" s="43">
        <f t="shared" si="552"/>
        <v>0</v>
      </c>
      <c r="AN296" s="43">
        <f t="shared" si="552"/>
        <v>2000</v>
      </c>
      <c r="AO296" s="43">
        <f t="shared" si="552"/>
        <v>0</v>
      </c>
      <c r="AP296" s="43">
        <f t="shared" si="552"/>
        <v>0</v>
      </c>
      <c r="AQ296" s="130"/>
      <c r="AR296" s="131"/>
      <c r="AS296" s="132"/>
    </row>
    <row r="297" spans="1:45" s="267" customFormat="1" ht="58.5" customHeight="1">
      <c r="A297" s="267" t="s">
        <v>749</v>
      </c>
      <c r="B297" s="276">
        <v>1</v>
      </c>
      <c r="C297" s="354" t="s">
        <v>647</v>
      </c>
      <c r="D297" s="443">
        <v>1</v>
      </c>
      <c r="E297" s="47">
        <v>1</v>
      </c>
      <c r="F297" s="119">
        <f>E297*AL297</f>
        <v>2000</v>
      </c>
      <c r="G297" s="266"/>
      <c r="H297" s="47"/>
      <c r="I297" s="266"/>
      <c r="J297" s="266"/>
      <c r="K297" s="266"/>
      <c r="L297" s="266">
        <v>1</v>
      </c>
      <c r="M297" s="268"/>
      <c r="N297" s="270" t="s">
        <v>276</v>
      </c>
      <c r="O297" s="270" t="s">
        <v>294</v>
      </c>
      <c r="P297" s="270" t="s">
        <v>274</v>
      </c>
      <c r="Q297" s="277" t="s">
        <v>295</v>
      </c>
      <c r="R297" s="278"/>
      <c r="S297" s="278"/>
      <c r="T297" s="279" t="s">
        <v>114</v>
      </c>
      <c r="U297" s="279"/>
      <c r="V297" s="279" t="s">
        <v>648</v>
      </c>
      <c r="W297" s="280">
        <v>14190</v>
      </c>
      <c r="X297" s="275"/>
      <c r="Y297" s="280">
        <v>5000</v>
      </c>
      <c r="Z297" s="235"/>
      <c r="AA297" s="266">
        <f>AB297+AC297+AD297+AE297</f>
        <v>5000</v>
      </c>
      <c r="AB297" s="235"/>
      <c r="AC297" s="265">
        <v>5000</v>
      </c>
      <c r="AD297" s="235"/>
      <c r="AE297" s="235"/>
      <c r="AF297" s="235"/>
      <c r="AG297" s="265">
        <v>3000</v>
      </c>
      <c r="AH297" s="265"/>
      <c r="AI297" s="265">
        <v>400</v>
      </c>
      <c r="AJ297" s="266">
        <f t="shared" ref="AJ297:AJ302" si="553">AF297+AI297</f>
        <v>400</v>
      </c>
      <c r="AK297" s="265">
        <v>2000</v>
      </c>
      <c r="AL297" s="47">
        <f>AM297+AN297+AO297+AP297</f>
        <v>2000</v>
      </c>
      <c r="AM297" s="271"/>
      <c r="AN297" s="280">
        <v>2000</v>
      </c>
      <c r="AO297" s="271"/>
      <c r="AP297" s="271"/>
      <c r="AQ297" s="333"/>
      <c r="AR297" s="272" t="e">
        <f>#REF!-AL297</f>
        <v>#REF!</v>
      </c>
    </row>
    <row r="298" spans="1:45" s="50" customFormat="1" ht="38.450000000000003" customHeight="1">
      <c r="B298" s="237"/>
      <c r="C298" s="340" t="s">
        <v>961</v>
      </c>
      <c r="D298" s="445">
        <f t="shared" ref="D298:J298" si="554">D299</f>
        <v>1</v>
      </c>
      <c r="E298" s="378">
        <f t="shared" si="554"/>
        <v>1</v>
      </c>
      <c r="F298" s="378">
        <f t="shared" si="554"/>
        <v>2600</v>
      </c>
      <c r="G298" s="378">
        <f t="shared" si="554"/>
        <v>0</v>
      </c>
      <c r="H298" s="378">
        <f t="shared" si="554"/>
        <v>0</v>
      </c>
      <c r="I298" s="378">
        <f t="shared" si="554"/>
        <v>0</v>
      </c>
      <c r="J298" s="378">
        <f t="shared" si="554"/>
        <v>0</v>
      </c>
      <c r="K298" s="47"/>
      <c r="L298" s="47"/>
      <c r="M298" s="88"/>
      <c r="N298" s="39"/>
      <c r="O298" s="39"/>
      <c r="P298" s="39"/>
      <c r="Q298" s="39"/>
      <c r="R298" s="39"/>
      <c r="S298" s="39"/>
      <c r="T298" s="90"/>
      <c r="U298" s="118"/>
      <c r="V298" s="90"/>
      <c r="W298" s="378">
        <f>W299</f>
        <v>5422</v>
      </c>
      <c r="X298" s="218"/>
      <c r="Y298" s="378">
        <f t="shared" ref="Y298:AP298" si="555">Y299</f>
        <v>5422</v>
      </c>
      <c r="Z298" s="378">
        <f t="shared" si="555"/>
        <v>0</v>
      </c>
      <c r="AA298" s="378">
        <f t="shared" si="555"/>
        <v>2600</v>
      </c>
      <c r="AB298" s="416">
        <f t="shared" si="555"/>
        <v>0</v>
      </c>
      <c r="AC298" s="416">
        <f t="shared" si="555"/>
        <v>2600</v>
      </c>
      <c r="AD298" s="416">
        <f t="shared" si="555"/>
        <v>0</v>
      </c>
      <c r="AE298" s="416">
        <f t="shared" si="555"/>
        <v>0</v>
      </c>
      <c r="AF298" s="416">
        <f t="shared" si="555"/>
        <v>0</v>
      </c>
      <c r="AG298" s="416">
        <f t="shared" si="555"/>
        <v>0</v>
      </c>
      <c r="AH298" s="416">
        <f t="shared" si="555"/>
        <v>0</v>
      </c>
      <c r="AI298" s="416">
        <f t="shared" si="555"/>
        <v>0</v>
      </c>
      <c r="AJ298" s="378">
        <f t="shared" si="555"/>
        <v>0</v>
      </c>
      <c r="AK298" s="416">
        <f t="shared" si="555"/>
        <v>2600</v>
      </c>
      <c r="AL298" s="378">
        <f t="shared" si="555"/>
        <v>2600</v>
      </c>
      <c r="AM298" s="378">
        <f t="shared" si="555"/>
        <v>0</v>
      </c>
      <c r="AN298" s="378">
        <f t="shared" si="555"/>
        <v>2600</v>
      </c>
      <c r="AO298" s="378">
        <f t="shared" si="555"/>
        <v>0</v>
      </c>
      <c r="AP298" s="378">
        <f t="shared" si="555"/>
        <v>0</v>
      </c>
      <c r="AQ298" s="47"/>
      <c r="AR298" s="48"/>
      <c r="AS298" s="49"/>
    </row>
    <row r="299" spans="1:45" s="50" customFormat="1" ht="81.75" customHeight="1">
      <c r="A299" s="50" t="s">
        <v>104</v>
      </c>
      <c r="B299" s="237">
        <v>1</v>
      </c>
      <c r="C299" s="345" t="s">
        <v>883</v>
      </c>
      <c r="D299" s="93">
        <v>1</v>
      </c>
      <c r="E299" s="47">
        <v>1</v>
      </c>
      <c r="F299" s="119">
        <f>E299*AL299</f>
        <v>2600</v>
      </c>
      <c r="G299" s="47"/>
      <c r="H299" s="47"/>
      <c r="I299" s="47"/>
      <c r="J299" s="47"/>
      <c r="K299" s="47"/>
      <c r="L299" s="47">
        <v>1</v>
      </c>
      <c r="M299" s="88"/>
      <c r="N299" s="39" t="s">
        <v>108</v>
      </c>
      <c r="O299" s="39" t="s">
        <v>473</v>
      </c>
      <c r="P299" s="39" t="s">
        <v>474</v>
      </c>
      <c r="Q299" s="99" t="s">
        <v>528</v>
      </c>
      <c r="R299" s="39"/>
      <c r="S299" s="39"/>
      <c r="T299" s="90" t="s">
        <v>115</v>
      </c>
      <c r="U299" s="90" t="s">
        <v>529</v>
      </c>
      <c r="V299" s="90" t="s">
        <v>538</v>
      </c>
      <c r="W299" s="68">
        <v>5422</v>
      </c>
      <c r="X299" s="218"/>
      <c r="Y299" s="68">
        <v>5422</v>
      </c>
      <c r="Z299" s="235"/>
      <c r="AA299" s="68">
        <v>2600</v>
      </c>
      <c r="AB299" s="235"/>
      <c r="AC299" s="250">
        <v>2600</v>
      </c>
      <c r="AD299" s="235"/>
      <c r="AE299" s="235"/>
      <c r="AF299" s="235"/>
      <c r="AG299" s="235"/>
      <c r="AH299" s="235"/>
      <c r="AI299" s="235"/>
      <c r="AJ299" s="47">
        <f>AF299+AI299</f>
        <v>0</v>
      </c>
      <c r="AK299" s="250">
        <v>2600</v>
      </c>
      <c r="AL299" s="47">
        <f>AM299+AN299+AO299</f>
        <v>2600</v>
      </c>
      <c r="AM299" s="43"/>
      <c r="AN299" s="68">
        <v>2600</v>
      </c>
      <c r="AO299" s="43"/>
      <c r="AP299" s="43"/>
      <c r="AQ299" s="47"/>
      <c r="AR299" s="48">
        <f>AA299-(AF299+AI299+AL299)</f>
        <v>0</v>
      </c>
      <c r="AS299" s="49" t="e">
        <f>#REF!-AL299</f>
        <v>#REF!</v>
      </c>
    </row>
    <row r="300" spans="1:45" s="267" customFormat="1" ht="35.450000000000003" customHeight="1">
      <c r="B300" s="276"/>
      <c r="C300" s="340" t="s">
        <v>955</v>
      </c>
      <c r="D300" s="447">
        <f t="shared" ref="D300:J300" si="556">D301+D302</f>
        <v>2</v>
      </c>
      <c r="E300" s="380">
        <f t="shared" si="556"/>
        <v>2</v>
      </c>
      <c r="F300" s="380">
        <f t="shared" si="556"/>
        <v>2800</v>
      </c>
      <c r="G300" s="380">
        <f t="shared" si="556"/>
        <v>0</v>
      </c>
      <c r="H300" s="380">
        <f t="shared" si="556"/>
        <v>0</v>
      </c>
      <c r="I300" s="380">
        <f t="shared" si="556"/>
        <v>0</v>
      </c>
      <c r="J300" s="380">
        <f t="shared" si="556"/>
        <v>0</v>
      </c>
      <c r="K300" s="266"/>
      <c r="L300" s="266"/>
      <c r="M300" s="268"/>
      <c r="N300" s="270"/>
      <c r="O300" s="270"/>
      <c r="P300" s="270"/>
      <c r="Q300" s="277"/>
      <c r="R300" s="278"/>
      <c r="S300" s="278"/>
      <c r="T300" s="279"/>
      <c r="U300" s="279"/>
      <c r="V300" s="279"/>
      <c r="W300" s="380">
        <f>W301+W302</f>
        <v>7237</v>
      </c>
      <c r="X300" s="275"/>
      <c r="Y300" s="380">
        <f t="shared" ref="Y300:AP300" si="557">Y301+Y302</f>
        <v>7237</v>
      </c>
      <c r="Z300" s="380">
        <f t="shared" si="557"/>
        <v>0</v>
      </c>
      <c r="AA300" s="380">
        <f t="shared" si="557"/>
        <v>6600</v>
      </c>
      <c r="AB300" s="416">
        <f t="shared" si="557"/>
        <v>0</v>
      </c>
      <c r="AC300" s="416">
        <f t="shared" si="557"/>
        <v>6600</v>
      </c>
      <c r="AD300" s="416">
        <f t="shared" si="557"/>
        <v>0</v>
      </c>
      <c r="AE300" s="416">
        <f t="shared" si="557"/>
        <v>0</v>
      </c>
      <c r="AF300" s="416">
        <f t="shared" si="557"/>
        <v>0</v>
      </c>
      <c r="AG300" s="416">
        <f t="shared" si="557"/>
        <v>0</v>
      </c>
      <c r="AH300" s="416">
        <f t="shared" si="557"/>
        <v>0</v>
      </c>
      <c r="AI300" s="416">
        <f t="shared" si="557"/>
        <v>0</v>
      </c>
      <c r="AJ300" s="380">
        <f t="shared" si="557"/>
        <v>0</v>
      </c>
      <c r="AK300" s="416">
        <f t="shared" si="557"/>
        <v>2800</v>
      </c>
      <c r="AL300" s="380">
        <f t="shared" si="557"/>
        <v>2800</v>
      </c>
      <c r="AM300" s="380">
        <f t="shared" si="557"/>
        <v>0</v>
      </c>
      <c r="AN300" s="380">
        <f t="shared" si="557"/>
        <v>2800</v>
      </c>
      <c r="AO300" s="380">
        <f t="shared" si="557"/>
        <v>0</v>
      </c>
      <c r="AP300" s="380">
        <f t="shared" si="557"/>
        <v>0</v>
      </c>
      <c r="AQ300" s="333"/>
      <c r="AR300" s="272"/>
    </row>
    <row r="301" spans="1:45" s="50" customFormat="1" ht="77.45" customHeight="1">
      <c r="A301" s="50" t="s">
        <v>104</v>
      </c>
      <c r="B301" s="237">
        <v>1</v>
      </c>
      <c r="C301" s="125" t="s">
        <v>769</v>
      </c>
      <c r="D301" s="93">
        <v>1</v>
      </c>
      <c r="E301" s="47">
        <v>1</v>
      </c>
      <c r="F301" s="119">
        <f>E301*AL301</f>
        <v>200</v>
      </c>
      <c r="G301" s="47"/>
      <c r="H301" s="47"/>
      <c r="I301" s="47"/>
      <c r="J301" s="47"/>
      <c r="K301" s="47"/>
      <c r="L301" s="47">
        <v>1</v>
      </c>
      <c r="M301" s="88"/>
      <c r="N301" s="39" t="s">
        <v>540</v>
      </c>
      <c r="O301" s="39" t="s">
        <v>542</v>
      </c>
      <c r="P301" s="39" t="s">
        <v>541</v>
      </c>
      <c r="Q301" s="99" t="s">
        <v>530</v>
      </c>
      <c r="R301" s="39"/>
      <c r="S301" s="39"/>
      <c r="T301" s="90" t="s">
        <v>115</v>
      </c>
      <c r="U301" s="90" t="s">
        <v>122</v>
      </c>
      <c r="V301" s="90" t="s">
        <v>770</v>
      </c>
      <c r="W301" s="62">
        <v>4637</v>
      </c>
      <c r="X301" s="265"/>
      <c r="Y301" s="62">
        <v>4637</v>
      </c>
      <c r="Z301" s="235"/>
      <c r="AA301" s="62">
        <v>4000</v>
      </c>
      <c r="AB301" s="235"/>
      <c r="AC301" s="265">
        <v>4000</v>
      </c>
      <c r="AD301" s="235"/>
      <c r="AE301" s="235"/>
      <c r="AF301" s="235"/>
      <c r="AG301" s="235"/>
      <c r="AH301" s="235"/>
      <c r="AI301" s="235"/>
      <c r="AJ301" s="47">
        <f t="shared" si="553"/>
        <v>0</v>
      </c>
      <c r="AK301" s="265">
        <v>200</v>
      </c>
      <c r="AL301" s="47">
        <f t="shared" ref="AL301:AL302" si="558">AM301+AN301+AO301</f>
        <v>200</v>
      </c>
      <c r="AM301" s="43"/>
      <c r="AN301" s="62">
        <v>200</v>
      </c>
      <c r="AO301" s="43"/>
      <c r="AP301" s="43"/>
      <c r="AQ301" s="47"/>
      <c r="AR301" s="48">
        <f>AA301-(AF301+AI301+AL301)</f>
        <v>3800</v>
      </c>
      <c r="AS301" s="49" t="e">
        <f>#REF!-AL301</f>
        <v>#REF!</v>
      </c>
    </row>
    <row r="302" spans="1:45" s="50" customFormat="1" ht="95.1" customHeight="1">
      <c r="B302" s="237">
        <f t="shared" ref="B302" si="559">B301+1</f>
        <v>2</v>
      </c>
      <c r="C302" s="125" t="s">
        <v>879</v>
      </c>
      <c r="D302" s="93">
        <v>1</v>
      </c>
      <c r="E302" s="47">
        <v>1</v>
      </c>
      <c r="F302" s="119">
        <f>E302*AL302</f>
        <v>2600</v>
      </c>
      <c r="G302" s="47"/>
      <c r="H302" s="47"/>
      <c r="I302" s="47"/>
      <c r="J302" s="47"/>
      <c r="K302" s="47"/>
      <c r="L302" s="47">
        <v>1</v>
      </c>
      <c r="M302" s="88"/>
      <c r="N302" s="39" t="s">
        <v>136</v>
      </c>
      <c r="O302" s="39" t="s">
        <v>229</v>
      </c>
      <c r="P302" s="39" t="s">
        <v>230</v>
      </c>
      <c r="Q302" s="99" t="s">
        <v>522</v>
      </c>
      <c r="R302" s="39"/>
      <c r="S302" s="39"/>
      <c r="T302" s="126" t="s">
        <v>116</v>
      </c>
      <c r="U302" s="118"/>
      <c r="V302" s="118" t="s">
        <v>771</v>
      </c>
      <c r="W302" s="42">
        <v>2600</v>
      </c>
      <c r="X302" s="218"/>
      <c r="Y302" s="42">
        <v>2600</v>
      </c>
      <c r="Z302" s="235"/>
      <c r="AA302" s="42">
        <v>2600</v>
      </c>
      <c r="AB302" s="235"/>
      <c r="AC302" s="218">
        <v>2600</v>
      </c>
      <c r="AD302" s="235"/>
      <c r="AE302" s="235"/>
      <c r="AF302" s="235"/>
      <c r="AG302" s="235"/>
      <c r="AH302" s="235"/>
      <c r="AI302" s="235"/>
      <c r="AJ302" s="47">
        <f t="shared" si="553"/>
        <v>0</v>
      </c>
      <c r="AK302" s="218">
        <v>2600</v>
      </c>
      <c r="AL302" s="47">
        <f t="shared" si="558"/>
        <v>2600</v>
      </c>
      <c r="AM302" s="43"/>
      <c r="AN302" s="42">
        <v>2600</v>
      </c>
      <c r="AO302" s="43"/>
      <c r="AP302" s="43"/>
      <c r="AQ302" s="47"/>
      <c r="AR302" s="48">
        <f>AA302-(AF302+AI302+AL302)</f>
        <v>0</v>
      </c>
      <c r="AS302" s="49" t="e">
        <f>#REF!-AL302</f>
        <v>#REF!</v>
      </c>
    </row>
    <row r="303" spans="1:45" s="1" customFormat="1" ht="79.5" hidden="1" customHeight="1">
      <c r="B303" s="402"/>
      <c r="C303" s="392"/>
      <c r="D303" s="448"/>
      <c r="E303" s="45"/>
      <c r="F303" s="45"/>
      <c r="G303" s="403"/>
      <c r="H303" s="45"/>
      <c r="I303" s="45"/>
      <c r="J303" s="45"/>
      <c r="K303" s="45"/>
      <c r="L303" s="403"/>
      <c r="M303" s="389"/>
      <c r="N303" s="115"/>
      <c r="O303" s="115"/>
      <c r="P303" s="115"/>
      <c r="Q303" s="258"/>
      <c r="R303" s="404"/>
      <c r="S303" s="404"/>
      <c r="T303" s="314"/>
      <c r="U303" s="314"/>
      <c r="V303" s="314"/>
      <c r="W303" s="390"/>
      <c r="X303" s="400"/>
      <c r="Y303" s="390"/>
      <c r="Z303" s="63"/>
      <c r="AA303" s="45"/>
      <c r="AB303" s="265"/>
      <c r="AC303" s="265"/>
      <c r="AD303" s="235"/>
      <c r="AE303" s="235"/>
      <c r="AF303" s="120"/>
      <c r="AG303" s="265"/>
      <c r="AH303" s="221"/>
      <c r="AI303" s="265"/>
      <c r="AJ303" s="45"/>
      <c r="AK303" s="265"/>
      <c r="AL303" s="45"/>
      <c r="AM303" s="390"/>
      <c r="AN303" s="390"/>
      <c r="AO303" s="63"/>
      <c r="AP303" s="63"/>
      <c r="AQ303" s="401"/>
    </row>
    <row r="304" spans="1:45" s="50" customFormat="1" ht="15.95" customHeight="1">
      <c r="B304" s="36"/>
      <c r="C304" s="342"/>
      <c r="D304" s="247"/>
      <c r="E304" s="47"/>
      <c r="F304" s="47"/>
      <c r="G304" s="47"/>
      <c r="H304" s="47"/>
      <c r="I304" s="47"/>
      <c r="J304" s="47"/>
      <c r="K304" s="47"/>
      <c r="L304" s="47"/>
      <c r="M304" s="88"/>
      <c r="N304" s="39"/>
      <c r="O304" s="39"/>
      <c r="P304" s="39"/>
      <c r="Q304" s="39"/>
      <c r="R304" s="39"/>
      <c r="S304" s="39"/>
      <c r="T304" s="39"/>
      <c r="U304" s="39"/>
      <c r="V304" s="39"/>
      <c r="W304" s="43"/>
      <c r="X304" s="235"/>
      <c r="Y304" s="43"/>
      <c r="Z304" s="235"/>
      <c r="AA304" s="43"/>
      <c r="AB304" s="235"/>
      <c r="AC304" s="235"/>
      <c r="AD304" s="235"/>
      <c r="AE304" s="235"/>
      <c r="AF304" s="235"/>
      <c r="AG304" s="235"/>
      <c r="AH304" s="235"/>
      <c r="AI304" s="235"/>
      <c r="AJ304" s="43"/>
      <c r="AK304" s="235"/>
      <c r="AL304" s="43"/>
      <c r="AM304" s="43"/>
      <c r="AN304" s="43"/>
      <c r="AO304" s="43"/>
      <c r="AP304" s="43"/>
      <c r="AQ304" s="47"/>
      <c r="AR304" s="48">
        <f>AA304-(AF304+AI304+AL304)</f>
        <v>0</v>
      </c>
      <c r="AS304" s="49" t="e">
        <f>#REF!-AL304</f>
        <v>#REF!</v>
      </c>
    </row>
    <row r="305" spans="1:45" s="50" customFormat="1" ht="15.95" customHeight="1">
      <c r="B305" s="127" t="s">
        <v>865</v>
      </c>
      <c r="C305" s="355" t="s">
        <v>586</v>
      </c>
      <c r="D305" s="247">
        <f t="shared" ref="D305:M308" si="560">D306</f>
        <v>1</v>
      </c>
      <c r="E305" s="43">
        <f t="shared" si="560"/>
        <v>1</v>
      </c>
      <c r="F305" s="43">
        <f t="shared" si="560"/>
        <v>47234</v>
      </c>
      <c r="G305" s="43">
        <f t="shared" si="560"/>
        <v>0</v>
      </c>
      <c r="H305" s="43">
        <f t="shared" si="560"/>
        <v>0</v>
      </c>
      <c r="I305" s="43">
        <f t="shared" si="560"/>
        <v>0</v>
      </c>
      <c r="J305" s="43">
        <f t="shared" si="560"/>
        <v>0</v>
      </c>
      <c r="K305" s="43">
        <f t="shared" si="560"/>
        <v>0</v>
      </c>
      <c r="L305" s="43">
        <f t="shared" si="560"/>
        <v>1</v>
      </c>
      <c r="M305" s="43">
        <f t="shared" si="560"/>
        <v>0</v>
      </c>
      <c r="N305" s="39"/>
      <c r="O305" s="39"/>
      <c r="P305" s="39"/>
      <c r="Q305" s="39"/>
      <c r="R305" s="39"/>
      <c r="S305" s="39"/>
      <c r="T305" s="39"/>
      <c r="U305" s="39"/>
      <c r="V305" s="39"/>
      <c r="W305" s="43">
        <f>W306</f>
        <v>62042</v>
      </c>
      <c r="X305" s="235">
        <f t="shared" ref="X305:AP308" si="561">X306</f>
        <v>0</v>
      </c>
      <c r="Y305" s="43">
        <f t="shared" si="561"/>
        <v>55900</v>
      </c>
      <c r="Z305" s="235">
        <f t="shared" si="561"/>
        <v>0</v>
      </c>
      <c r="AA305" s="43">
        <f t="shared" si="561"/>
        <v>55900</v>
      </c>
      <c r="AB305" s="235">
        <f t="shared" si="561"/>
        <v>55900</v>
      </c>
      <c r="AC305" s="235">
        <f t="shared" si="561"/>
        <v>0</v>
      </c>
      <c r="AD305" s="235">
        <f t="shared" si="561"/>
        <v>0</v>
      </c>
      <c r="AE305" s="235">
        <f t="shared" si="561"/>
        <v>0</v>
      </c>
      <c r="AF305" s="235">
        <f t="shared" si="561"/>
        <v>0</v>
      </c>
      <c r="AG305" s="235">
        <f t="shared" si="561"/>
        <v>0</v>
      </c>
      <c r="AH305" s="235">
        <f t="shared" si="561"/>
        <v>0</v>
      </c>
      <c r="AI305" s="235">
        <f t="shared" si="561"/>
        <v>0</v>
      </c>
      <c r="AJ305" s="43">
        <f t="shared" si="561"/>
        <v>0</v>
      </c>
      <c r="AK305" s="235">
        <f t="shared" si="561"/>
        <v>55900</v>
      </c>
      <c r="AL305" s="43">
        <f t="shared" si="561"/>
        <v>47234</v>
      </c>
      <c r="AM305" s="43">
        <f t="shared" si="561"/>
        <v>47234</v>
      </c>
      <c r="AN305" s="43">
        <f t="shared" si="561"/>
        <v>0</v>
      </c>
      <c r="AO305" s="43">
        <f t="shared" si="561"/>
        <v>0</v>
      </c>
      <c r="AP305" s="43">
        <f t="shared" si="561"/>
        <v>0</v>
      </c>
      <c r="AQ305" s="47"/>
      <c r="AR305" s="48"/>
      <c r="AS305" s="49"/>
    </row>
    <row r="306" spans="1:45" s="133" customFormat="1" ht="15.95" customHeight="1">
      <c r="B306" s="129" t="s">
        <v>50</v>
      </c>
      <c r="C306" s="356" t="s">
        <v>69</v>
      </c>
      <c r="D306" s="439">
        <f t="shared" si="560"/>
        <v>1</v>
      </c>
      <c r="E306" s="69">
        <f t="shared" si="560"/>
        <v>1</v>
      </c>
      <c r="F306" s="69">
        <f t="shared" si="560"/>
        <v>47234</v>
      </c>
      <c r="G306" s="69">
        <f t="shared" si="560"/>
        <v>0</v>
      </c>
      <c r="H306" s="69">
        <f t="shared" si="560"/>
        <v>0</v>
      </c>
      <c r="I306" s="69">
        <f t="shared" si="560"/>
        <v>0</v>
      </c>
      <c r="J306" s="69">
        <f t="shared" si="560"/>
        <v>0</v>
      </c>
      <c r="K306" s="69">
        <f t="shared" si="560"/>
        <v>0</v>
      </c>
      <c r="L306" s="69">
        <f t="shared" si="560"/>
        <v>1</v>
      </c>
      <c r="M306" s="69">
        <f t="shared" si="560"/>
        <v>0</v>
      </c>
      <c r="N306" s="122"/>
      <c r="O306" s="122"/>
      <c r="P306" s="122"/>
      <c r="Q306" s="122"/>
      <c r="R306" s="122"/>
      <c r="S306" s="122"/>
      <c r="T306" s="122"/>
      <c r="U306" s="122"/>
      <c r="V306" s="122"/>
      <c r="W306" s="69">
        <f>W307</f>
        <v>62042</v>
      </c>
      <c r="X306" s="236">
        <f t="shared" si="561"/>
        <v>0</v>
      </c>
      <c r="Y306" s="69">
        <f t="shared" si="561"/>
        <v>55900</v>
      </c>
      <c r="Z306" s="236">
        <f t="shared" si="561"/>
        <v>0</v>
      </c>
      <c r="AA306" s="69">
        <f t="shared" si="561"/>
        <v>55900</v>
      </c>
      <c r="AB306" s="236">
        <f t="shared" si="561"/>
        <v>55900</v>
      </c>
      <c r="AC306" s="236">
        <f t="shared" si="561"/>
        <v>0</v>
      </c>
      <c r="AD306" s="236">
        <f t="shared" si="561"/>
        <v>0</v>
      </c>
      <c r="AE306" s="236">
        <f t="shared" si="561"/>
        <v>0</v>
      </c>
      <c r="AF306" s="236">
        <f t="shared" si="561"/>
        <v>0</v>
      </c>
      <c r="AG306" s="236">
        <f t="shared" si="561"/>
        <v>0</v>
      </c>
      <c r="AH306" s="236">
        <f t="shared" si="561"/>
        <v>0</v>
      </c>
      <c r="AI306" s="236">
        <f t="shared" si="561"/>
        <v>0</v>
      </c>
      <c r="AJ306" s="69">
        <f t="shared" si="561"/>
        <v>0</v>
      </c>
      <c r="AK306" s="236">
        <f t="shared" si="561"/>
        <v>55900</v>
      </c>
      <c r="AL306" s="69">
        <f t="shared" si="561"/>
        <v>47234</v>
      </c>
      <c r="AM306" s="69">
        <f t="shared" si="561"/>
        <v>47234</v>
      </c>
      <c r="AN306" s="69">
        <f t="shared" si="561"/>
        <v>0</v>
      </c>
      <c r="AO306" s="69">
        <f t="shared" si="561"/>
        <v>0</v>
      </c>
      <c r="AP306" s="69">
        <f t="shared" si="561"/>
        <v>0</v>
      </c>
      <c r="AQ306" s="130"/>
      <c r="AR306" s="131"/>
      <c r="AS306" s="132"/>
    </row>
    <row r="307" spans="1:45" s="50" customFormat="1" ht="32.450000000000003" customHeight="1">
      <c r="B307" s="36" t="s">
        <v>106</v>
      </c>
      <c r="C307" s="340" t="s">
        <v>120</v>
      </c>
      <c r="D307" s="247">
        <f t="shared" si="560"/>
        <v>1</v>
      </c>
      <c r="E307" s="43">
        <f t="shared" si="560"/>
        <v>1</v>
      </c>
      <c r="F307" s="43">
        <f t="shared" si="560"/>
        <v>47234</v>
      </c>
      <c r="G307" s="43">
        <f t="shared" si="560"/>
        <v>0</v>
      </c>
      <c r="H307" s="43">
        <f t="shared" si="560"/>
        <v>0</v>
      </c>
      <c r="I307" s="43">
        <f t="shared" si="560"/>
        <v>0</v>
      </c>
      <c r="J307" s="43">
        <f t="shared" si="560"/>
        <v>0</v>
      </c>
      <c r="K307" s="43">
        <f t="shared" si="560"/>
        <v>0</v>
      </c>
      <c r="L307" s="43">
        <f t="shared" si="560"/>
        <v>1</v>
      </c>
      <c r="M307" s="43">
        <f t="shared" si="560"/>
        <v>0</v>
      </c>
      <c r="N307" s="39"/>
      <c r="O307" s="39"/>
      <c r="P307" s="39"/>
      <c r="Q307" s="39"/>
      <c r="R307" s="39"/>
      <c r="S307" s="39"/>
      <c r="T307" s="39"/>
      <c r="U307" s="39"/>
      <c r="V307" s="39"/>
      <c r="W307" s="43">
        <f>W308</f>
        <v>62042</v>
      </c>
      <c r="X307" s="235">
        <f t="shared" si="561"/>
        <v>0</v>
      </c>
      <c r="Y307" s="43">
        <f t="shared" si="561"/>
        <v>55900</v>
      </c>
      <c r="Z307" s="235">
        <f t="shared" si="561"/>
        <v>0</v>
      </c>
      <c r="AA307" s="43">
        <f t="shared" si="561"/>
        <v>55900</v>
      </c>
      <c r="AB307" s="235">
        <f t="shared" si="561"/>
        <v>55900</v>
      </c>
      <c r="AC307" s="235">
        <f t="shared" si="561"/>
        <v>0</v>
      </c>
      <c r="AD307" s="235">
        <f t="shared" si="561"/>
        <v>0</v>
      </c>
      <c r="AE307" s="235">
        <f t="shared" si="561"/>
        <v>0</v>
      </c>
      <c r="AF307" s="235">
        <f t="shared" si="561"/>
        <v>0</v>
      </c>
      <c r="AG307" s="235">
        <f t="shared" si="561"/>
        <v>0</v>
      </c>
      <c r="AH307" s="235">
        <f t="shared" si="561"/>
        <v>0</v>
      </c>
      <c r="AI307" s="235">
        <f t="shared" si="561"/>
        <v>0</v>
      </c>
      <c r="AJ307" s="43">
        <f t="shared" si="561"/>
        <v>0</v>
      </c>
      <c r="AK307" s="235">
        <f t="shared" si="561"/>
        <v>55900</v>
      </c>
      <c r="AL307" s="43">
        <f t="shared" si="561"/>
        <v>47234</v>
      </c>
      <c r="AM307" s="43">
        <f t="shared" si="561"/>
        <v>47234</v>
      </c>
      <c r="AN307" s="43">
        <f t="shared" si="561"/>
        <v>0</v>
      </c>
      <c r="AO307" s="43">
        <f t="shared" si="561"/>
        <v>0</v>
      </c>
      <c r="AP307" s="43">
        <f t="shared" si="561"/>
        <v>0</v>
      </c>
      <c r="AQ307" s="47"/>
      <c r="AR307" s="48"/>
      <c r="AS307" s="49"/>
    </row>
    <row r="308" spans="1:45" s="133" customFormat="1" ht="19.5" customHeight="1">
      <c r="B308" s="129" t="s">
        <v>118</v>
      </c>
      <c r="C308" s="348" t="s">
        <v>119</v>
      </c>
      <c r="D308" s="439">
        <f t="shared" si="560"/>
        <v>1</v>
      </c>
      <c r="E308" s="69">
        <f t="shared" si="560"/>
        <v>1</v>
      </c>
      <c r="F308" s="69">
        <f t="shared" si="560"/>
        <v>47234</v>
      </c>
      <c r="G308" s="69">
        <f t="shared" si="560"/>
        <v>0</v>
      </c>
      <c r="H308" s="69">
        <f t="shared" si="560"/>
        <v>0</v>
      </c>
      <c r="I308" s="69">
        <f t="shared" si="560"/>
        <v>0</v>
      </c>
      <c r="J308" s="69">
        <f t="shared" si="560"/>
        <v>0</v>
      </c>
      <c r="K308" s="69">
        <f t="shared" si="560"/>
        <v>0</v>
      </c>
      <c r="L308" s="69">
        <f t="shared" si="560"/>
        <v>1</v>
      </c>
      <c r="M308" s="69">
        <f t="shared" si="560"/>
        <v>0</v>
      </c>
      <c r="N308" s="122"/>
      <c r="O308" s="122"/>
      <c r="P308" s="122"/>
      <c r="Q308" s="122"/>
      <c r="R308" s="122"/>
      <c r="S308" s="122"/>
      <c r="T308" s="122"/>
      <c r="U308" s="122"/>
      <c r="V308" s="122"/>
      <c r="W308" s="69">
        <f>W309</f>
        <v>62042</v>
      </c>
      <c r="X308" s="236">
        <f t="shared" si="561"/>
        <v>0</v>
      </c>
      <c r="Y308" s="69">
        <f t="shared" si="561"/>
        <v>55900</v>
      </c>
      <c r="Z308" s="236">
        <f t="shared" si="561"/>
        <v>0</v>
      </c>
      <c r="AA308" s="69">
        <f t="shared" si="561"/>
        <v>55900</v>
      </c>
      <c r="AB308" s="236">
        <f t="shared" si="561"/>
        <v>55900</v>
      </c>
      <c r="AC308" s="236">
        <f t="shared" si="561"/>
        <v>0</v>
      </c>
      <c r="AD308" s="236">
        <f t="shared" si="561"/>
        <v>0</v>
      </c>
      <c r="AE308" s="236">
        <f t="shared" si="561"/>
        <v>0</v>
      </c>
      <c r="AF308" s="236">
        <f t="shared" si="561"/>
        <v>0</v>
      </c>
      <c r="AG308" s="236">
        <f t="shared" si="561"/>
        <v>0</v>
      </c>
      <c r="AH308" s="236">
        <f t="shared" si="561"/>
        <v>0</v>
      </c>
      <c r="AI308" s="236">
        <f t="shared" si="561"/>
        <v>0</v>
      </c>
      <c r="AJ308" s="69">
        <f t="shared" si="561"/>
        <v>0</v>
      </c>
      <c r="AK308" s="236">
        <f t="shared" si="561"/>
        <v>55900</v>
      </c>
      <c r="AL308" s="69">
        <f t="shared" si="561"/>
        <v>47234</v>
      </c>
      <c r="AM308" s="69">
        <f t="shared" si="561"/>
        <v>47234</v>
      </c>
      <c r="AN308" s="69">
        <f t="shared" si="561"/>
        <v>0</v>
      </c>
      <c r="AO308" s="69">
        <f t="shared" si="561"/>
        <v>0</v>
      </c>
      <c r="AP308" s="69">
        <f t="shared" si="561"/>
        <v>0</v>
      </c>
      <c r="AQ308" s="130"/>
      <c r="AR308" s="131"/>
      <c r="AS308" s="132"/>
    </row>
    <row r="309" spans="1:45" s="50" customFormat="1" ht="98.25" customHeight="1">
      <c r="A309" s="50" t="s">
        <v>749</v>
      </c>
      <c r="B309" s="89"/>
      <c r="C309" s="345" t="s">
        <v>690</v>
      </c>
      <c r="D309" s="93">
        <v>1</v>
      </c>
      <c r="E309" s="47">
        <v>1</v>
      </c>
      <c r="F309" s="119">
        <f>E309*AL309</f>
        <v>47234</v>
      </c>
      <c r="G309" s="47"/>
      <c r="H309" s="47"/>
      <c r="I309" s="47"/>
      <c r="J309" s="47"/>
      <c r="K309" s="47"/>
      <c r="L309" s="47">
        <v>1</v>
      </c>
      <c r="M309" s="88"/>
      <c r="N309" s="39" t="s">
        <v>136</v>
      </c>
      <c r="O309" s="39" t="s">
        <v>109</v>
      </c>
      <c r="P309" s="39" t="s">
        <v>587</v>
      </c>
      <c r="Q309" s="39">
        <v>7904779</v>
      </c>
      <c r="R309" s="39"/>
      <c r="S309" s="39" t="s">
        <v>691</v>
      </c>
      <c r="T309" s="39" t="s">
        <v>116</v>
      </c>
      <c r="U309" s="39"/>
      <c r="V309" s="39" t="s">
        <v>692</v>
      </c>
      <c r="W309" s="47">
        <v>62042</v>
      </c>
      <c r="X309" s="120"/>
      <c r="Y309" s="47">
        <v>55900</v>
      </c>
      <c r="Z309" s="120"/>
      <c r="AA309" s="47">
        <f t="shared" ref="AA309" si="562">AB309+AC309+AD309+AE309</f>
        <v>55900</v>
      </c>
      <c r="AB309" s="120">
        <v>55900</v>
      </c>
      <c r="AC309" s="120"/>
      <c r="AD309" s="120"/>
      <c r="AE309" s="120"/>
      <c r="AF309" s="120"/>
      <c r="AG309" s="120"/>
      <c r="AH309" s="120"/>
      <c r="AI309" s="120"/>
      <c r="AJ309" s="47"/>
      <c r="AK309" s="120">
        <v>55900</v>
      </c>
      <c r="AL309" s="47">
        <f t="shared" ref="AL309" si="563">AM309+AN309+AO309</f>
        <v>47234</v>
      </c>
      <c r="AM309" s="47">
        <f>55900-8666</f>
        <v>47234</v>
      </c>
      <c r="AN309" s="47"/>
      <c r="AO309" s="47"/>
      <c r="AP309" s="47"/>
      <c r="AQ309" s="145"/>
      <c r="AR309" s="48"/>
      <c r="AS309" s="49"/>
    </row>
    <row r="310" spans="1:45" s="50" customFormat="1" ht="15.95" customHeight="1">
      <c r="B310" s="36"/>
      <c r="C310" s="342"/>
      <c r="D310" s="247"/>
      <c r="E310" s="43"/>
      <c r="F310" s="43"/>
      <c r="G310" s="43"/>
      <c r="H310" s="43"/>
      <c r="I310" s="43"/>
      <c r="J310" s="43"/>
      <c r="K310" s="43"/>
      <c r="L310" s="43"/>
      <c r="M310" s="246"/>
      <c r="N310" s="91"/>
      <c r="O310" s="39"/>
      <c r="P310" s="39"/>
      <c r="Q310" s="39"/>
      <c r="R310" s="39"/>
      <c r="S310" s="39"/>
      <c r="T310" s="39"/>
      <c r="U310" s="39"/>
      <c r="V310" s="39"/>
      <c r="W310" s="43"/>
      <c r="X310" s="235"/>
      <c r="Y310" s="43"/>
      <c r="Z310" s="235"/>
      <c r="AA310" s="43"/>
      <c r="AB310" s="235"/>
      <c r="AC310" s="235"/>
      <c r="AD310" s="235"/>
      <c r="AE310" s="235"/>
      <c r="AF310" s="235"/>
      <c r="AG310" s="235"/>
      <c r="AH310" s="235"/>
      <c r="AI310" s="235"/>
      <c r="AJ310" s="43"/>
      <c r="AK310" s="235"/>
      <c r="AL310" s="43"/>
      <c r="AM310" s="43"/>
      <c r="AN310" s="43"/>
      <c r="AO310" s="43"/>
      <c r="AP310" s="43"/>
      <c r="AQ310" s="47"/>
      <c r="AR310" s="48"/>
      <c r="AS310" s="49"/>
    </row>
    <row r="311" spans="1:45" s="50" customFormat="1" ht="50.1" customHeight="1">
      <c r="B311" s="36" t="s">
        <v>971</v>
      </c>
      <c r="C311" s="340" t="s">
        <v>63</v>
      </c>
      <c r="D311" s="247">
        <f t="shared" ref="D311:J311" si="564">D312+D319+D328+D341+D325</f>
        <v>15</v>
      </c>
      <c r="E311" s="43">
        <f t="shared" si="564"/>
        <v>4</v>
      </c>
      <c r="F311" s="43">
        <f t="shared" si="564"/>
        <v>16746</v>
      </c>
      <c r="G311" s="43">
        <f t="shared" si="564"/>
        <v>7</v>
      </c>
      <c r="H311" s="43">
        <f t="shared" si="564"/>
        <v>326700</v>
      </c>
      <c r="I311" s="43">
        <f t="shared" si="564"/>
        <v>4</v>
      </c>
      <c r="J311" s="43">
        <f t="shared" si="564"/>
        <v>397130</v>
      </c>
      <c r="K311" s="43" t="e">
        <f>K312+K319+K328+K341</f>
        <v>#REF!</v>
      </c>
      <c r="L311" s="43" t="e">
        <f>L312+L319+L328+L341</f>
        <v>#REF!</v>
      </c>
      <c r="M311" s="43" t="e">
        <f>M312+M319+M328+M341</f>
        <v>#REF!</v>
      </c>
      <c r="N311" s="43"/>
      <c r="O311" s="43"/>
      <c r="P311" s="43"/>
      <c r="Q311" s="43">
        <f>Q312+Q319+Q328+Q341</f>
        <v>0</v>
      </c>
      <c r="R311" s="43">
        <f>R312+R319+R328+R341</f>
        <v>0</v>
      </c>
      <c r="S311" s="43"/>
      <c r="T311" s="43"/>
      <c r="U311" s="43"/>
      <c r="V311" s="43"/>
      <c r="W311" s="43">
        <f>W312+W319+W328+W341+W325</f>
        <v>2566743</v>
      </c>
      <c r="X311" s="43" t="e">
        <f>X312+X319+X328+X341</f>
        <v>#REF!</v>
      </c>
      <c r="Y311" s="43">
        <f t="shared" ref="Y311:AP311" si="565">Y312+Y319+Y328+Y341+Y325</f>
        <v>2079691</v>
      </c>
      <c r="Z311" s="43">
        <f t="shared" si="565"/>
        <v>0</v>
      </c>
      <c r="AA311" s="43">
        <f t="shared" si="565"/>
        <v>1997576</v>
      </c>
      <c r="AB311" s="235">
        <f t="shared" si="565"/>
        <v>20000</v>
      </c>
      <c r="AC311" s="235">
        <f t="shared" si="565"/>
        <v>1222406</v>
      </c>
      <c r="AD311" s="235">
        <f t="shared" si="565"/>
        <v>1386620</v>
      </c>
      <c r="AE311" s="235">
        <f t="shared" si="565"/>
        <v>335000</v>
      </c>
      <c r="AF311" s="235">
        <f t="shared" si="565"/>
        <v>163008.70800000001</v>
      </c>
      <c r="AG311" s="235">
        <f t="shared" si="565"/>
        <v>153211.16899999999</v>
      </c>
      <c r="AH311" s="235">
        <f t="shared" si="565"/>
        <v>33455.595000000001</v>
      </c>
      <c r="AI311" s="235">
        <f t="shared" si="565"/>
        <v>560495.56050500006</v>
      </c>
      <c r="AJ311" s="43">
        <f t="shared" si="565"/>
        <v>723504.26850500004</v>
      </c>
      <c r="AK311" s="235">
        <f t="shared" si="565"/>
        <v>830357</v>
      </c>
      <c r="AL311" s="43">
        <f t="shared" si="565"/>
        <v>740576</v>
      </c>
      <c r="AM311" s="43">
        <f t="shared" si="565"/>
        <v>12146</v>
      </c>
      <c r="AN311" s="43">
        <f t="shared" si="565"/>
        <v>51300</v>
      </c>
      <c r="AO311" s="43">
        <f t="shared" si="565"/>
        <v>387130</v>
      </c>
      <c r="AP311" s="43">
        <f t="shared" si="565"/>
        <v>290000</v>
      </c>
      <c r="AQ311" s="47"/>
      <c r="AR311" s="48">
        <f>AA311-(AF311+AI311+AL311)</f>
        <v>533495.73149499996</v>
      </c>
      <c r="AS311" s="49" t="e">
        <f>#REF!-AL311</f>
        <v>#REF!</v>
      </c>
    </row>
    <row r="312" spans="1:45" s="50" customFormat="1" ht="34.5" customHeight="1">
      <c r="B312" s="36" t="s">
        <v>50</v>
      </c>
      <c r="C312" s="340" t="s">
        <v>175</v>
      </c>
      <c r="D312" s="247">
        <f t="shared" ref="D312:J312" si="566">D313</f>
        <v>5</v>
      </c>
      <c r="E312" s="43">
        <f t="shared" si="566"/>
        <v>0</v>
      </c>
      <c r="F312" s="43">
        <f t="shared" si="566"/>
        <v>0</v>
      </c>
      <c r="G312" s="43">
        <f t="shared" si="566"/>
        <v>5</v>
      </c>
      <c r="H312" s="43">
        <f t="shared" si="566"/>
        <v>326300</v>
      </c>
      <c r="I312" s="43">
        <f t="shared" si="566"/>
        <v>0</v>
      </c>
      <c r="J312" s="43">
        <f t="shared" si="566"/>
        <v>0</v>
      </c>
      <c r="K312" s="43" t="e">
        <f>K313+#REF!</f>
        <v>#REF!</v>
      </c>
      <c r="L312" s="43" t="e">
        <f>L313+#REF!</f>
        <v>#REF!</v>
      </c>
      <c r="M312" s="43" t="e">
        <f>M313+#REF!</f>
        <v>#REF!</v>
      </c>
      <c r="N312" s="43"/>
      <c r="O312" s="43"/>
      <c r="P312" s="43"/>
      <c r="Q312" s="43"/>
      <c r="R312" s="43"/>
      <c r="S312" s="43"/>
      <c r="T312" s="43"/>
      <c r="U312" s="43"/>
      <c r="V312" s="43"/>
      <c r="W312" s="43">
        <f>W313</f>
        <v>1471891</v>
      </c>
      <c r="X312" s="43" t="e">
        <f>X313+#REF!</f>
        <v>#REF!</v>
      </c>
      <c r="Y312" s="43">
        <f t="shared" ref="Y312:AP312" si="567">Y313</f>
        <v>1014947</v>
      </c>
      <c r="Z312" s="43">
        <f t="shared" si="567"/>
        <v>0</v>
      </c>
      <c r="AA312" s="43">
        <f t="shared" si="567"/>
        <v>993456</v>
      </c>
      <c r="AB312" s="235">
        <f t="shared" si="567"/>
        <v>0</v>
      </c>
      <c r="AC312" s="235">
        <f t="shared" si="567"/>
        <v>215456</v>
      </c>
      <c r="AD312" s="235">
        <f t="shared" si="567"/>
        <v>443000</v>
      </c>
      <c r="AE312" s="235">
        <f t="shared" si="567"/>
        <v>335000</v>
      </c>
      <c r="AF312" s="235">
        <f t="shared" si="567"/>
        <v>143479.60800000001</v>
      </c>
      <c r="AG312" s="235">
        <f t="shared" si="567"/>
        <v>35140.269</v>
      </c>
      <c r="AH312" s="235">
        <f t="shared" si="567"/>
        <v>7687.5290000000005</v>
      </c>
      <c r="AI312" s="235">
        <f t="shared" si="567"/>
        <v>319034.66050500004</v>
      </c>
      <c r="AJ312" s="43">
        <f t="shared" si="567"/>
        <v>462514.26850500004</v>
      </c>
      <c r="AK312" s="235">
        <f t="shared" si="567"/>
        <v>355000</v>
      </c>
      <c r="AL312" s="43">
        <f t="shared" si="567"/>
        <v>326300</v>
      </c>
      <c r="AM312" s="43">
        <f t="shared" si="567"/>
        <v>0</v>
      </c>
      <c r="AN312" s="43">
        <f t="shared" si="567"/>
        <v>36300</v>
      </c>
      <c r="AO312" s="43">
        <f t="shared" si="567"/>
        <v>0</v>
      </c>
      <c r="AP312" s="43">
        <f t="shared" si="567"/>
        <v>290000</v>
      </c>
      <c r="AQ312" s="47"/>
      <c r="AR312" s="48">
        <f>AA312-(AF312+AI312+AL312)</f>
        <v>204641.73149499996</v>
      </c>
      <c r="AS312" s="49" t="e">
        <f>#REF!-AL312</f>
        <v>#REF!</v>
      </c>
    </row>
    <row r="313" spans="1:45" s="133" customFormat="1" ht="18" customHeight="1">
      <c r="B313" s="129" t="s">
        <v>106</v>
      </c>
      <c r="C313" s="348" t="s">
        <v>107</v>
      </c>
      <c r="D313" s="439">
        <f t="shared" ref="D313:J313" si="568">D314+D315+D316+D317+D318</f>
        <v>5</v>
      </c>
      <c r="E313" s="69">
        <f t="shared" si="568"/>
        <v>0</v>
      </c>
      <c r="F313" s="69">
        <f t="shared" si="568"/>
        <v>0</v>
      </c>
      <c r="G313" s="69">
        <f t="shared" si="568"/>
        <v>5</v>
      </c>
      <c r="H313" s="69">
        <f t="shared" si="568"/>
        <v>326300</v>
      </c>
      <c r="I313" s="69">
        <f t="shared" si="568"/>
        <v>0</v>
      </c>
      <c r="J313" s="69">
        <f t="shared" si="568"/>
        <v>0</v>
      </c>
      <c r="K313" s="69">
        <f t="shared" ref="K313" si="569">K314+K315+K316</f>
        <v>0</v>
      </c>
      <c r="L313" s="69">
        <f t="shared" ref="L313" si="570">L314+L315+L316</f>
        <v>3</v>
      </c>
      <c r="M313" s="69">
        <f t="shared" ref="M313" si="571">M314+M315+M316</f>
        <v>0</v>
      </c>
      <c r="N313" s="69"/>
      <c r="O313" s="69"/>
      <c r="P313" s="69"/>
      <c r="Q313" s="69"/>
      <c r="R313" s="69">
        <f t="shared" ref="R313" si="572">R314+R315+R316</f>
        <v>0</v>
      </c>
      <c r="S313" s="69"/>
      <c r="T313" s="69"/>
      <c r="U313" s="69"/>
      <c r="V313" s="69"/>
      <c r="W313" s="69">
        <f>W314+W315+W316+W317+W318</f>
        <v>1471891</v>
      </c>
      <c r="X313" s="69">
        <f t="shared" ref="X313" si="573">X314+X315+X316</f>
        <v>613000</v>
      </c>
      <c r="Y313" s="69">
        <f t="shared" ref="Y313:AP313" si="574">Y314+Y315+Y316+Y317+Y318</f>
        <v>1014947</v>
      </c>
      <c r="Z313" s="69">
        <f t="shared" si="574"/>
        <v>0</v>
      </c>
      <c r="AA313" s="69">
        <f t="shared" si="574"/>
        <v>993456</v>
      </c>
      <c r="AB313" s="236">
        <f t="shared" si="574"/>
        <v>0</v>
      </c>
      <c r="AC313" s="236">
        <f t="shared" si="574"/>
        <v>215456</v>
      </c>
      <c r="AD313" s="236">
        <f t="shared" si="574"/>
        <v>443000</v>
      </c>
      <c r="AE313" s="236">
        <f t="shared" si="574"/>
        <v>335000</v>
      </c>
      <c r="AF313" s="236">
        <f t="shared" si="574"/>
        <v>143479.60800000001</v>
      </c>
      <c r="AG313" s="236">
        <f t="shared" si="574"/>
        <v>35140.269</v>
      </c>
      <c r="AH313" s="236">
        <f t="shared" si="574"/>
        <v>7687.5290000000005</v>
      </c>
      <c r="AI313" s="236">
        <f t="shared" si="574"/>
        <v>319034.66050500004</v>
      </c>
      <c r="AJ313" s="69">
        <f t="shared" si="574"/>
        <v>462514.26850500004</v>
      </c>
      <c r="AK313" s="236">
        <f t="shared" si="574"/>
        <v>355000</v>
      </c>
      <c r="AL313" s="69">
        <f t="shared" si="574"/>
        <v>326300</v>
      </c>
      <c r="AM313" s="69">
        <f t="shared" si="574"/>
        <v>0</v>
      </c>
      <c r="AN313" s="69">
        <f t="shared" si="574"/>
        <v>36300</v>
      </c>
      <c r="AO313" s="69">
        <f t="shared" si="574"/>
        <v>0</v>
      </c>
      <c r="AP313" s="69">
        <f t="shared" si="574"/>
        <v>290000</v>
      </c>
      <c r="AQ313" s="130"/>
      <c r="AR313" s="131">
        <f>AA313-(AF313+AI313+AL313)</f>
        <v>204641.73149499996</v>
      </c>
      <c r="AS313" s="132" t="e">
        <f>#REF!-AL313</f>
        <v>#REF!</v>
      </c>
    </row>
    <row r="314" spans="1:45" s="50" customFormat="1" ht="63" customHeight="1">
      <c r="A314" s="50" t="s">
        <v>104</v>
      </c>
      <c r="B314" s="237">
        <v>1</v>
      </c>
      <c r="C314" s="345" t="s">
        <v>787</v>
      </c>
      <c r="D314" s="93">
        <v>1</v>
      </c>
      <c r="E314" s="47"/>
      <c r="F314" s="47"/>
      <c r="G314" s="47">
        <v>1</v>
      </c>
      <c r="H314" s="47">
        <f>G314*AL314</f>
        <v>10000</v>
      </c>
      <c r="I314" s="47"/>
      <c r="J314" s="47"/>
      <c r="K314" s="47"/>
      <c r="L314" s="47">
        <v>1</v>
      </c>
      <c r="M314" s="88"/>
      <c r="N314" s="105" t="s">
        <v>180</v>
      </c>
      <c r="O314" s="93" t="s">
        <v>109</v>
      </c>
      <c r="P314" s="39" t="s">
        <v>172</v>
      </c>
      <c r="Q314" s="39">
        <v>7833938</v>
      </c>
      <c r="R314" s="105"/>
      <c r="S314" s="38" t="s">
        <v>617</v>
      </c>
      <c r="T314" s="90" t="s">
        <v>170</v>
      </c>
      <c r="U314" s="136"/>
      <c r="V314" s="90" t="s">
        <v>181</v>
      </c>
      <c r="W314" s="59">
        <v>112849</v>
      </c>
      <c r="X314" s="219">
        <v>90000</v>
      </c>
      <c r="Y314" s="47">
        <v>90000</v>
      </c>
      <c r="Z314" s="235"/>
      <c r="AA314" s="59">
        <v>90000</v>
      </c>
      <c r="AB314" s="219"/>
      <c r="AC314" s="219">
        <v>10000</v>
      </c>
      <c r="AD314" s="219">
        <v>80000</v>
      </c>
      <c r="AE314" s="235"/>
      <c r="AF314" s="219">
        <v>14860</v>
      </c>
      <c r="AG314" s="264">
        <v>35140.269</v>
      </c>
      <c r="AH314" s="264">
        <v>7687.5290000000005</v>
      </c>
      <c r="AI314" s="264">
        <v>35140.269</v>
      </c>
      <c r="AJ314" s="47">
        <f>AF314+AI314</f>
        <v>50000.269</v>
      </c>
      <c r="AK314" s="264">
        <v>10000</v>
      </c>
      <c r="AL314" s="47">
        <f t="shared" ref="AL314" si="575">AM314+AN314+AO314</f>
        <v>10000</v>
      </c>
      <c r="AM314" s="58"/>
      <c r="AN314" s="58">
        <v>10000</v>
      </c>
      <c r="AO314" s="58"/>
      <c r="AP314" s="43"/>
      <c r="AQ314" s="47"/>
      <c r="AR314" s="48">
        <f>AA314-(AF314+AI314+AL314)</f>
        <v>29999.731</v>
      </c>
      <c r="AS314" s="49" t="e">
        <f>#REF!-AL314</f>
        <v>#REF!</v>
      </c>
    </row>
    <row r="315" spans="1:45" s="50" customFormat="1" ht="113.25" customHeight="1">
      <c r="A315" s="50" t="s">
        <v>104</v>
      </c>
      <c r="B315" s="237">
        <v>2</v>
      </c>
      <c r="C315" s="357" t="s">
        <v>608</v>
      </c>
      <c r="D315" s="93">
        <v>1</v>
      </c>
      <c r="E315" s="47"/>
      <c r="F315" s="47"/>
      <c r="G315" s="47">
        <v>1</v>
      </c>
      <c r="H315" s="47">
        <f>G315*AL315</f>
        <v>290000</v>
      </c>
      <c r="I315" s="47"/>
      <c r="J315" s="47"/>
      <c r="K315" s="47"/>
      <c r="L315" s="47">
        <v>1</v>
      </c>
      <c r="M315" s="88"/>
      <c r="N315" s="90" t="s">
        <v>562</v>
      </c>
      <c r="O315" s="39" t="s">
        <v>109</v>
      </c>
      <c r="P315" s="39" t="s">
        <v>948</v>
      </c>
      <c r="Q315" s="39">
        <v>7961020</v>
      </c>
      <c r="R315" s="39"/>
      <c r="S315" s="38" t="s">
        <v>594</v>
      </c>
      <c r="T315" s="90" t="s">
        <v>116</v>
      </c>
      <c r="U315" s="39"/>
      <c r="V315" s="90" t="s">
        <v>627</v>
      </c>
      <c r="W315" s="65">
        <v>399077</v>
      </c>
      <c r="X315" s="221">
        <v>290000</v>
      </c>
      <c r="Y315" s="47">
        <v>360000</v>
      </c>
      <c r="Z315" s="235"/>
      <c r="AA315" s="59">
        <f t="shared" ref="AA315:AA316" si="576">AB315+AC315+AD315+AE315</f>
        <v>360000</v>
      </c>
      <c r="AB315" s="235"/>
      <c r="AC315" s="120">
        <v>70000</v>
      </c>
      <c r="AD315" s="221">
        <v>290000</v>
      </c>
      <c r="AE315" s="235"/>
      <c r="AF315" s="235"/>
      <c r="AG315" s="235"/>
      <c r="AH315" s="235"/>
      <c r="AI315" s="120">
        <v>21514</v>
      </c>
      <c r="AJ315" s="47">
        <f>AF315+AI315</f>
        <v>21514</v>
      </c>
      <c r="AK315" s="120">
        <v>290000</v>
      </c>
      <c r="AL315" s="47">
        <f>AM315+AN315+AO315+AP315</f>
        <v>290000</v>
      </c>
      <c r="AM315" s="43"/>
      <c r="AN315" s="43"/>
      <c r="AO315" s="47"/>
      <c r="AP315" s="47">
        <v>290000</v>
      </c>
      <c r="AQ315" s="47"/>
      <c r="AR315" s="48"/>
      <c r="AS315" s="49" t="e">
        <f>#REF!-AL315</f>
        <v>#REF!</v>
      </c>
    </row>
    <row r="316" spans="1:45" s="50" customFormat="1" ht="94.5" customHeight="1">
      <c r="A316" s="50" t="s">
        <v>104</v>
      </c>
      <c r="B316" s="237">
        <v>3</v>
      </c>
      <c r="C316" s="357" t="s">
        <v>612</v>
      </c>
      <c r="D316" s="93">
        <v>1</v>
      </c>
      <c r="E316" s="47"/>
      <c r="F316" s="47"/>
      <c r="G316" s="47">
        <v>1</v>
      </c>
      <c r="H316" s="47">
        <f>G316*AL316</f>
        <v>4300</v>
      </c>
      <c r="I316" s="47"/>
      <c r="J316" s="47"/>
      <c r="K316" s="47"/>
      <c r="L316" s="47">
        <v>1</v>
      </c>
      <c r="M316" s="88"/>
      <c r="N316" s="90" t="s">
        <v>161</v>
      </c>
      <c r="O316" s="39" t="s">
        <v>109</v>
      </c>
      <c r="P316" s="39" t="s">
        <v>363</v>
      </c>
      <c r="Q316" s="39">
        <v>7654439</v>
      </c>
      <c r="R316" s="39"/>
      <c r="S316" s="39" t="s">
        <v>629</v>
      </c>
      <c r="T316" s="90" t="s">
        <v>588</v>
      </c>
      <c r="U316" s="39"/>
      <c r="V316" s="90" t="s">
        <v>628</v>
      </c>
      <c r="W316" s="65">
        <v>216160</v>
      </c>
      <c r="X316" s="221">
        <v>233000</v>
      </c>
      <c r="Y316" s="47">
        <v>57300</v>
      </c>
      <c r="Z316" s="235"/>
      <c r="AA316" s="59">
        <f t="shared" si="576"/>
        <v>57300</v>
      </c>
      <c r="AB316" s="235"/>
      <c r="AC316" s="120">
        <v>4300</v>
      </c>
      <c r="AD316" s="221">
        <v>53000</v>
      </c>
      <c r="AE316" s="235"/>
      <c r="AF316" s="235"/>
      <c r="AG316" s="235"/>
      <c r="AH316" s="235"/>
      <c r="AI316" s="120">
        <v>20000</v>
      </c>
      <c r="AJ316" s="47">
        <f>AF316+AI316</f>
        <v>20000</v>
      </c>
      <c r="AK316" s="120">
        <v>33000</v>
      </c>
      <c r="AL316" s="47">
        <f>AM316+AN316+AO316+AP316</f>
        <v>4300</v>
      </c>
      <c r="AM316" s="43"/>
      <c r="AN316" s="47">
        <v>4300</v>
      </c>
      <c r="AO316" s="47"/>
      <c r="AP316" s="43"/>
      <c r="AQ316" s="309"/>
      <c r="AR316" s="48"/>
      <c r="AS316" s="49"/>
    </row>
    <row r="317" spans="1:45" s="50" customFormat="1" ht="131.25" customHeight="1">
      <c r="B317" s="237">
        <v>4</v>
      </c>
      <c r="C317" s="357" t="s">
        <v>965</v>
      </c>
      <c r="D317" s="93">
        <v>1</v>
      </c>
      <c r="E317" s="47"/>
      <c r="F317" s="47"/>
      <c r="G317" s="47">
        <v>1</v>
      </c>
      <c r="H317" s="47">
        <f>G317*AL317</f>
        <v>7000</v>
      </c>
      <c r="I317" s="47"/>
      <c r="J317" s="47"/>
      <c r="K317" s="47"/>
      <c r="L317" s="47"/>
      <c r="M317" s="88"/>
      <c r="N317" s="90" t="s">
        <v>966</v>
      </c>
      <c r="O317" s="90" t="s">
        <v>109</v>
      </c>
      <c r="P317" s="90" t="s">
        <v>36</v>
      </c>
      <c r="Q317" s="90">
        <v>7596083</v>
      </c>
      <c r="R317" s="39"/>
      <c r="S317" s="39"/>
      <c r="T317" s="90" t="s">
        <v>968</v>
      </c>
      <c r="U317" s="39"/>
      <c r="V317" s="90" t="s">
        <v>967</v>
      </c>
      <c r="W317" s="65">
        <v>664300</v>
      </c>
      <c r="X317" s="221"/>
      <c r="Y317" s="47">
        <f>417500+18656</f>
        <v>436156</v>
      </c>
      <c r="Z317" s="235"/>
      <c r="AA317" s="59">
        <f>AB317+AC317+AD317+AE317</f>
        <v>436156</v>
      </c>
      <c r="AB317" s="235"/>
      <c r="AC317" s="120">
        <f>82500+18656</f>
        <v>101156</v>
      </c>
      <c r="AD317" s="221"/>
      <c r="AE317" s="120">
        <v>335000</v>
      </c>
      <c r="AF317" s="120">
        <f>20119.608+108500</f>
        <v>128619.60800000001</v>
      </c>
      <c r="AG317" s="235"/>
      <c r="AH317" s="235"/>
      <c r="AI317" s="120">
        <f>2380.391505+220000</f>
        <v>222380.39150500001</v>
      </c>
      <c r="AJ317" s="47">
        <f>AF317+AI317</f>
        <v>350999.99950500001</v>
      </c>
      <c r="AK317" s="120">
        <v>7000</v>
      </c>
      <c r="AL317" s="47">
        <f>AM317+AN317+AO317+AP317</f>
        <v>7000</v>
      </c>
      <c r="AM317" s="43"/>
      <c r="AN317" s="47">
        <v>7000</v>
      </c>
      <c r="AO317" s="47"/>
      <c r="AP317" s="43"/>
      <c r="AQ317" s="93"/>
      <c r="AR317" s="48"/>
      <c r="AS317" s="49"/>
    </row>
    <row r="318" spans="1:45" s="50" customFormat="1" ht="114" customHeight="1">
      <c r="B318" s="237">
        <v>5</v>
      </c>
      <c r="C318" s="357" t="s">
        <v>969</v>
      </c>
      <c r="D318" s="93">
        <v>1</v>
      </c>
      <c r="E318" s="47"/>
      <c r="F318" s="47"/>
      <c r="G318" s="47">
        <v>1</v>
      </c>
      <c r="H318" s="47">
        <f>G318*AL318</f>
        <v>15000</v>
      </c>
      <c r="I318" s="47"/>
      <c r="J318" s="47"/>
      <c r="K318" s="47"/>
      <c r="L318" s="47"/>
      <c r="M318" s="88"/>
      <c r="N318" s="3" t="s">
        <v>222</v>
      </c>
      <c r="O318" s="4" t="s">
        <v>324</v>
      </c>
      <c r="P318" s="5" t="s">
        <v>303</v>
      </c>
      <c r="Q318" s="3">
        <v>7833604</v>
      </c>
      <c r="R318" s="39"/>
      <c r="S318" s="39"/>
      <c r="T318" s="90" t="s">
        <v>170</v>
      </c>
      <c r="U318" s="39"/>
      <c r="V318" s="90" t="s">
        <v>970</v>
      </c>
      <c r="W318" s="65">
        <v>79505</v>
      </c>
      <c r="X318" s="221"/>
      <c r="Y318" s="47">
        <v>71491</v>
      </c>
      <c r="Z318" s="235"/>
      <c r="AA318" s="59">
        <f>AB318+AC318+AD318+AE318</f>
        <v>50000</v>
      </c>
      <c r="AB318" s="235"/>
      <c r="AC318" s="120">
        <v>30000</v>
      </c>
      <c r="AD318" s="221">
        <v>20000</v>
      </c>
      <c r="AE318" s="120"/>
      <c r="AF318" s="120"/>
      <c r="AG318" s="235"/>
      <c r="AH318" s="235"/>
      <c r="AI318" s="120">
        <v>20000</v>
      </c>
      <c r="AJ318" s="47">
        <f>AF318+AI318</f>
        <v>20000</v>
      </c>
      <c r="AK318" s="120">
        <v>15000</v>
      </c>
      <c r="AL318" s="47">
        <f>AM318+AN318+AO318+AP318</f>
        <v>15000</v>
      </c>
      <c r="AM318" s="43"/>
      <c r="AN318" s="47">
        <v>15000</v>
      </c>
      <c r="AO318" s="47"/>
      <c r="AP318" s="43"/>
      <c r="AQ318" s="93"/>
      <c r="AR318" s="48"/>
      <c r="AS318" s="49"/>
    </row>
    <row r="319" spans="1:45" s="50" customFormat="1" ht="37.5" customHeight="1">
      <c r="B319" s="36" t="s">
        <v>51</v>
      </c>
      <c r="C319" s="340" t="s">
        <v>174</v>
      </c>
      <c r="D319" s="247">
        <f t="shared" ref="D319:J319" si="577">D320+D323</f>
        <v>3</v>
      </c>
      <c r="E319" s="43">
        <f t="shared" si="577"/>
        <v>0</v>
      </c>
      <c r="F319" s="43">
        <f t="shared" si="577"/>
        <v>0</v>
      </c>
      <c r="G319" s="43">
        <f t="shared" si="577"/>
        <v>0</v>
      </c>
      <c r="H319" s="43">
        <f t="shared" si="577"/>
        <v>0</v>
      </c>
      <c r="I319" s="43">
        <f t="shared" si="577"/>
        <v>3</v>
      </c>
      <c r="J319" s="43">
        <f t="shared" si="577"/>
        <v>269300</v>
      </c>
      <c r="K319" s="43">
        <f t="shared" ref="K319:M319" si="578">K320</f>
        <v>0</v>
      </c>
      <c r="L319" s="43">
        <f t="shared" si="578"/>
        <v>1</v>
      </c>
      <c r="M319" s="246">
        <f t="shared" si="578"/>
        <v>0</v>
      </c>
      <c r="N319" s="39"/>
      <c r="O319" s="39"/>
      <c r="P319" s="39"/>
      <c r="Q319" s="39"/>
      <c r="R319" s="39"/>
      <c r="S319" s="39"/>
      <c r="T319" s="39"/>
      <c r="U319" s="39"/>
      <c r="V319" s="39"/>
      <c r="W319" s="43">
        <f>W320+W323</f>
        <v>610385</v>
      </c>
      <c r="X319" s="235">
        <f t="shared" ref="X319" si="579">X320</f>
        <v>500000</v>
      </c>
      <c r="Y319" s="43">
        <f t="shared" ref="Y319:AP319" si="580">Y320+Y323</f>
        <v>581300</v>
      </c>
      <c r="Z319" s="43">
        <f t="shared" si="580"/>
        <v>0</v>
      </c>
      <c r="AA319" s="43">
        <f t="shared" si="580"/>
        <v>531300</v>
      </c>
      <c r="AB319" s="235">
        <f t="shared" si="580"/>
        <v>8000</v>
      </c>
      <c r="AC319" s="235">
        <f t="shared" si="580"/>
        <v>23300</v>
      </c>
      <c r="AD319" s="235">
        <f t="shared" si="580"/>
        <v>500000</v>
      </c>
      <c r="AE319" s="235">
        <f t="shared" si="580"/>
        <v>0</v>
      </c>
      <c r="AF319" s="235">
        <f t="shared" si="580"/>
        <v>19529.099999999999</v>
      </c>
      <c r="AG319" s="235">
        <f t="shared" si="580"/>
        <v>118070.9</v>
      </c>
      <c r="AH319" s="235">
        <f t="shared" si="580"/>
        <v>25768.065999999999</v>
      </c>
      <c r="AI319" s="235">
        <f t="shared" si="580"/>
        <v>111070.9</v>
      </c>
      <c r="AJ319" s="43">
        <f t="shared" si="580"/>
        <v>130600</v>
      </c>
      <c r="AK319" s="235">
        <f t="shared" si="580"/>
        <v>330381</v>
      </c>
      <c r="AL319" s="43">
        <f t="shared" si="580"/>
        <v>269300</v>
      </c>
      <c r="AM319" s="43">
        <f t="shared" si="580"/>
        <v>0</v>
      </c>
      <c r="AN319" s="43">
        <f t="shared" si="580"/>
        <v>10000</v>
      </c>
      <c r="AO319" s="43">
        <f t="shared" si="580"/>
        <v>259300</v>
      </c>
      <c r="AP319" s="43">
        <f t="shared" si="580"/>
        <v>0</v>
      </c>
      <c r="AQ319" s="47"/>
      <c r="AR319" s="48">
        <f>AA319-(AF319+AI319+AL319)</f>
        <v>131400</v>
      </c>
      <c r="AS319" s="49" t="e">
        <f>#REF!-AL319</f>
        <v>#REF!</v>
      </c>
    </row>
    <row r="320" spans="1:45" s="133" customFormat="1" ht="24.6" customHeight="1">
      <c r="B320" s="129" t="s">
        <v>121</v>
      </c>
      <c r="C320" s="348" t="s">
        <v>107</v>
      </c>
      <c r="D320" s="439">
        <f t="shared" ref="D320:J320" si="581">D322+D321</f>
        <v>2</v>
      </c>
      <c r="E320" s="69">
        <f t="shared" si="581"/>
        <v>0</v>
      </c>
      <c r="F320" s="69">
        <f t="shared" si="581"/>
        <v>0</v>
      </c>
      <c r="G320" s="69">
        <f t="shared" si="581"/>
        <v>0</v>
      </c>
      <c r="H320" s="69">
        <f t="shared" si="581"/>
        <v>0</v>
      </c>
      <c r="I320" s="69">
        <f t="shared" si="581"/>
        <v>2</v>
      </c>
      <c r="J320" s="69">
        <f t="shared" si="581"/>
        <v>259300</v>
      </c>
      <c r="K320" s="69">
        <f>K322</f>
        <v>0</v>
      </c>
      <c r="L320" s="69">
        <f>L322</f>
        <v>1</v>
      </c>
      <c r="M320" s="273">
        <f>M322</f>
        <v>0</v>
      </c>
      <c r="N320" s="122"/>
      <c r="O320" s="122"/>
      <c r="P320" s="122"/>
      <c r="Q320" s="122"/>
      <c r="R320" s="122"/>
      <c r="S320" s="122"/>
      <c r="T320" s="122"/>
      <c r="U320" s="122"/>
      <c r="V320" s="122"/>
      <c r="W320" s="69">
        <f>W322+W321</f>
        <v>587404</v>
      </c>
      <c r="X320" s="69">
        <f t="shared" ref="X320:AP320" si="582">X322+X321</f>
        <v>500000</v>
      </c>
      <c r="Y320" s="69">
        <f t="shared" si="582"/>
        <v>560600</v>
      </c>
      <c r="Z320" s="69">
        <f t="shared" si="582"/>
        <v>0</v>
      </c>
      <c r="AA320" s="69">
        <f t="shared" si="582"/>
        <v>510600</v>
      </c>
      <c r="AB320" s="236">
        <f t="shared" si="582"/>
        <v>8000</v>
      </c>
      <c r="AC320" s="236">
        <f t="shared" si="582"/>
        <v>2600</v>
      </c>
      <c r="AD320" s="236">
        <f t="shared" si="582"/>
        <v>500000</v>
      </c>
      <c r="AE320" s="236">
        <f t="shared" si="582"/>
        <v>0</v>
      </c>
      <c r="AF320" s="236">
        <f t="shared" si="582"/>
        <v>19529.099999999999</v>
      </c>
      <c r="AG320" s="236">
        <f t="shared" si="582"/>
        <v>108070.9</v>
      </c>
      <c r="AH320" s="236">
        <f t="shared" si="582"/>
        <v>25386.065999999999</v>
      </c>
      <c r="AI320" s="236">
        <f t="shared" si="582"/>
        <v>108070.9</v>
      </c>
      <c r="AJ320" s="69">
        <f t="shared" si="582"/>
        <v>127600</v>
      </c>
      <c r="AK320" s="236">
        <f t="shared" si="582"/>
        <v>310400</v>
      </c>
      <c r="AL320" s="69">
        <f t="shared" si="582"/>
        <v>259300</v>
      </c>
      <c r="AM320" s="69">
        <f t="shared" si="582"/>
        <v>0</v>
      </c>
      <c r="AN320" s="69">
        <f t="shared" si="582"/>
        <v>0</v>
      </c>
      <c r="AO320" s="69">
        <f t="shared" si="582"/>
        <v>259300</v>
      </c>
      <c r="AP320" s="69">
        <f t="shared" si="582"/>
        <v>0</v>
      </c>
      <c r="AQ320" s="130"/>
      <c r="AR320" s="131">
        <f>AA320-(AF320+AI320+AL320)</f>
        <v>123700</v>
      </c>
      <c r="AS320" s="132" t="e">
        <f>#REF!-AL320</f>
        <v>#REF!</v>
      </c>
    </row>
    <row r="321" spans="1:45" s="50" customFormat="1" ht="93" customHeight="1">
      <c r="A321" s="50" t="s">
        <v>104</v>
      </c>
      <c r="B321" s="237">
        <v>1</v>
      </c>
      <c r="C321" s="345" t="s">
        <v>626</v>
      </c>
      <c r="D321" s="93">
        <v>1</v>
      </c>
      <c r="E321" s="47"/>
      <c r="F321" s="47"/>
      <c r="G321" s="47"/>
      <c r="H321" s="47"/>
      <c r="I321" s="47">
        <v>1</v>
      </c>
      <c r="J321" s="47">
        <f>I321*AL321</f>
        <v>125000</v>
      </c>
      <c r="K321" s="47"/>
      <c r="L321" s="47">
        <v>1</v>
      </c>
      <c r="M321" s="88"/>
      <c r="N321" s="105" t="s">
        <v>171</v>
      </c>
      <c r="O321" s="93" t="s">
        <v>109</v>
      </c>
      <c r="P321" s="39" t="s">
        <v>172</v>
      </c>
      <c r="Q321" s="39">
        <v>7871762</v>
      </c>
      <c r="R321" s="105"/>
      <c r="S321" s="134" t="s">
        <v>616</v>
      </c>
      <c r="T321" s="135" t="s">
        <v>170</v>
      </c>
      <c r="U321" s="90"/>
      <c r="V321" s="90" t="s">
        <v>615</v>
      </c>
      <c r="W321" s="59">
        <v>300000</v>
      </c>
      <c r="X321" s="219">
        <v>250000</v>
      </c>
      <c r="Y321" s="59">
        <v>300000</v>
      </c>
      <c r="Z321" s="235"/>
      <c r="AA321" s="59">
        <f>AB321+AC321+AD321+AE321</f>
        <v>250000</v>
      </c>
      <c r="AB321" s="219"/>
      <c r="AC321" s="235"/>
      <c r="AD321" s="219">
        <v>250000</v>
      </c>
      <c r="AE321" s="235"/>
      <c r="AF321" s="219">
        <v>19529.099999999999</v>
      </c>
      <c r="AG321" s="219">
        <f>70000+35470.9</f>
        <v>105470.9</v>
      </c>
      <c r="AH321" s="120">
        <v>23391.065999999999</v>
      </c>
      <c r="AI321" s="219">
        <f>105470.9-40000</f>
        <v>65470.899999999994</v>
      </c>
      <c r="AJ321" s="47">
        <f>AF321+AI321</f>
        <v>85000</v>
      </c>
      <c r="AK321" s="219">
        <v>140000</v>
      </c>
      <c r="AL321" s="47">
        <f>AM321+AN321+AO321+AP321</f>
        <v>125000</v>
      </c>
      <c r="AM321" s="43"/>
      <c r="AN321" s="43"/>
      <c r="AO321" s="59">
        <f>140000-15000</f>
        <v>125000</v>
      </c>
      <c r="AP321" s="43"/>
      <c r="AQ321" s="47"/>
      <c r="AR321" s="48">
        <f>AA321-(AF321+AI321+AL321)</f>
        <v>40000</v>
      </c>
      <c r="AS321" s="49" t="e">
        <f>#REF!-AL321</f>
        <v>#REF!</v>
      </c>
    </row>
    <row r="322" spans="1:45" s="50" customFormat="1" ht="64.5" customHeight="1">
      <c r="A322" s="50" t="s">
        <v>104</v>
      </c>
      <c r="B322" s="237">
        <v>2</v>
      </c>
      <c r="C322" s="345" t="s">
        <v>624</v>
      </c>
      <c r="D322" s="93">
        <v>1</v>
      </c>
      <c r="E322" s="47"/>
      <c r="F322" s="47"/>
      <c r="G322" s="47"/>
      <c r="H322" s="47"/>
      <c r="I322" s="47">
        <v>1</v>
      </c>
      <c r="J322" s="47">
        <f>I322*AL322</f>
        <v>134300</v>
      </c>
      <c r="K322" s="47"/>
      <c r="L322" s="47">
        <v>1</v>
      </c>
      <c r="M322" s="88"/>
      <c r="N322" s="40" t="s">
        <v>111</v>
      </c>
      <c r="O322" s="39" t="s">
        <v>109</v>
      </c>
      <c r="P322" s="39" t="s">
        <v>172</v>
      </c>
      <c r="Q322" s="39" t="s">
        <v>173</v>
      </c>
      <c r="R322" s="94"/>
      <c r="S322" s="38" t="s">
        <v>560</v>
      </c>
      <c r="T322" s="39" t="s">
        <v>133</v>
      </c>
      <c r="U322" s="39"/>
      <c r="V322" s="90" t="s">
        <v>545</v>
      </c>
      <c r="W322" s="68">
        <v>287404</v>
      </c>
      <c r="X322" s="250">
        <v>250000</v>
      </c>
      <c r="Y322" s="47">
        <v>260600</v>
      </c>
      <c r="Z322" s="235"/>
      <c r="AA322" s="59">
        <f>AB322+AC322+AD322+AE322</f>
        <v>260600</v>
      </c>
      <c r="AB322" s="219">
        <v>8000</v>
      </c>
      <c r="AC322" s="120">
        <v>2600</v>
      </c>
      <c r="AD322" s="219">
        <v>250000</v>
      </c>
      <c r="AE322" s="235"/>
      <c r="AF322" s="235"/>
      <c r="AG322" s="219">
        <v>2600</v>
      </c>
      <c r="AH322" s="219">
        <v>1995</v>
      </c>
      <c r="AI322" s="219">
        <f>2600+40000</f>
        <v>42600</v>
      </c>
      <c r="AJ322" s="47">
        <f>AF322+AI322</f>
        <v>42600</v>
      </c>
      <c r="AK322" s="219">
        <v>170400</v>
      </c>
      <c r="AL322" s="47">
        <f>AM322+AN322+AO322+AP322</f>
        <v>134300</v>
      </c>
      <c r="AM322" s="43"/>
      <c r="AN322" s="47"/>
      <c r="AO322" s="59">
        <v>134300</v>
      </c>
      <c r="AP322" s="43"/>
      <c r="AQ322" s="47"/>
      <c r="AR322" s="48">
        <f>AA322-(AF322+AI322+AL322)</f>
        <v>83700</v>
      </c>
      <c r="AS322" s="49" t="e">
        <f>#REF!-AL322</f>
        <v>#REF!</v>
      </c>
    </row>
    <row r="323" spans="1:45" s="133" customFormat="1" ht="19.5" customHeight="1">
      <c r="B323" s="129" t="s">
        <v>163</v>
      </c>
      <c r="C323" s="348" t="s">
        <v>119</v>
      </c>
      <c r="D323" s="449">
        <f t="shared" ref="D323:M323" si="583">D324</f>
        <v>1</v>
      </c>
      <c r="E323" s="222">
        <f t="shared" si="583"/>
        <v>0</v>
      </c>
      <c r="F323" s="222">
        <f t="shared" si="583"/>
        <v>0</v>
      </c>
      <c r="G323" s="222">
        <f t="shared" si="583"/>
        <v>0</v>
      </c>
      <c r="H323" s="222">
        <f t="shared" si="583"/>
        <v>0</v>
      </c>
      <c r="I323" s="222">
        <f t="shared" si="583"/>
        <v>1</v>
      </c>
      <c r="J323" s="222">
        <f t="shared" si="583"/>
        <v>10000</v>
      </c>
      <c r="K323" s="222">
        <f t="shared" si="583"/>
        <v>0</v>
      </c>
      <c r="L323" s="222">
        <f t="shared" si="583"/>
        <v>1</v>
      </c>
      <c r="M323" s="222">
        <f t="shared" si="583"/>
        <v>0</v>
      </c>
      <c r="N323" s="281"/>
      <c r="O323" s="123"/>
      <c r="P323" s="255"/>
      <c r="Q323" s="122"/>
      <c r="R323" s="281"/>
      <c r="S323" s="282"/>
      <c r="T323" s="124"/>
      <c r="U323" s="283"/>
      <c r="V323" s="124"/>
      <c r="W323" s="222">
        <f>W324</f>
        <v>22981</v>
      </c>
      <c r="X323" s="223">
        <f t="shared" ref="X323:AP323" si="584">X324</f>
        <v>0</v>
      </c>
      <c r="Y323" s="222">
        <f t="shared" si="584"/>
        <v>20700</v>
      </c>
      <c r="Z323" s="223">
        <f t="shared" si="584"/>
        <v>0</v>
      </c>
      <c r="AA323" s="222">
        <f t="shared" si="584"/>
        <v>20700</v>
      </c>
      <c r="AB323" s="223">
        <f t="shared" si="584"/>
        <v>0</v>
      </c>
      <c r="AC323" s="223">
        <f t="shared" si="584"/>
        <v>20700</v>
      </c>
      <c r="AD323" s="223">
        <f t="shared" si="584"/>
        <v>0</v>
      </c>
      <c r="AE323" s="223">
        <f t="shared" si="584"/>
        <v>0</v>
      </c>
      <c r="AF323" s="223">
        <f t="shared" si="584"/>
        <v>0</v>
      </c>
      <c r="AG323" s="223">
        <f t="shared" si="584"/>
        <v>10000</v>
      </c>
      <c r="AH323" s="223">
        <f t="shared" si="584"/>
        <v>382</v>
      </c>
      <c r="AI323" s="223">
        <f t="shared" si="584"/>
        <v>3000</v>
      </c>
      <c r="AJ323" s="222">
        <f t="shared" si="584"/>
        <v>3000</v>
      </c>
      <c r="AK323" s="223">
        <f t="shared" si="584"/>
        <v>19981</v>
      </c>
      <c r="AL323" s="222">
        <f t="shared" si="584"/>
        <v>10000</v>
      </c>
      <c r="AM323" s="222">
        <f t="shared" si="584"/>
        <v>0</v>
      </c>
      <c r="AN323" s="222">
        <f t="shared" si="584"/>
        <v>10000</v>
      </c>
      <c r="AO323" s="222">
        <f t="shared" si="584"/>
        <v>0</v>
      </c>
      <c r="AP323" s="222">
        <f t="shared" si="584"/>
        <v>0</v>
      </c>
      <c r="AQ323" s="130"/>
      <c r="AR323" s="131"/>
      <c r="AS323" s="132" t="e">
        <f>#REF!-AL323</f>
        <v>#REF!</v>
      </c>
    </row>
    <row r="324" spans="1:45" s="50" customFormat="1" ht="78.95" customHeight="1">
      <c r="B324" s="237">
        <v>1</v>
      </c>
      <c r="C324" s="125" t="s">
        <v>788</v>
      </c>
      <c r="D324" s="93">
        <v>1</v>
      </c>
      <c r="E324" s="47"/>
      <c r="F324" s="47"/>
      <c r="G324" s="47"/>
      <c r="H324" s="47"/>
      <c r="I324" s="47">
        <v>1</v>
      </c>
      <c r="J324" s="47">
        <f>I324*AL324</f>
        <v>10000</v>
      </c>
      <c r="K324" s="47"/>
      <c r="L324" s="47">
        <v>1</v>
      </c>
      <c r="M324" s="88"/>
      <c r="N324" s="39" t="s">
        <v>222</v>
      </c>
      <c r="O324" s="39" t="s">
        <v>109</v>
      </c>
      <c r="P324" s="39" t="s">
        <v>36</v>
      </c>
      <c r="Q324" s="39">
        <v>7915936</v>
      </c>
      <c r="R324" s="39"/>
      <c r="S324" s="39"/>
      <c r="T324" s="39" t="s">
        <v>115</v>
      </c>
      <c r="U324" s="90"/>
      <c r="V324" s="90" t="s">
        <v>789</v>
      </c>
      <c r="W324" s="58">
        <v>22981</v>
      </c>
      <c r="X324" s="264"/>
      <c r="Y324" s="58">
        <v>20700</v>
      </c>
      <c r="Z324" s="235"/>
      <c r="AA324" s="58">
        <v>20700</v>
      </c>
      <c r="AB324" s="219"/>
      <c r="AC324" s="264">
        <v>20700</v>
      </c>
      <c r="AD324" s="219"/>
      <c r="AE324" s="235"/>
      <c r="AF324" s="219"/>
      <c r="AG324" s="264">
        <f>3000+7000</f>
        <v>10000</v>
      </c>
      <c r="AH324" s="264">
        <v>382</v>
      </c>
      <c r="AI324" s="264">
        <v>3000</v>
      </c>
      <c r="AJ324" s="47">
        <f>AF324+AI324</f>
        <v>3000</v>
      </c>
      <c r="AK324" s="264">
        <v>19981</v>
      </c>
      <c r="AL324" s="47">
        <f t="shared" ref="AL324" si="585">AM324+AN324+AO324</f>
        <v>10000</v>
      </c>
      <c r="AM324" s="58"/>
      <c r="AN324" s="58">
        <v>10000</v>
      </c>
      <c r="AO324" s="58"/>
      <c r="AP324" s="43"/>
      <c r="AQ324" s="47"/>
      <c r="AR324" s="48">
        <f>AA324-(AF324+AI324+AL324)</f>
        <v>7700</v>
      </c>
      <c r="AS324" s="49" t="e">
        <f>#REF!-AL324</f>
        <v>#REF!</v>
      </c>
    </row>
    <row r="325" spans="1:45" s="50" customFormat="1" ht="33" customHeight="1">
      <c r="B325" s="36" t="s">
        <v>52</v>
      </c>
      <c r="C325" s="340" t="s">
        <v>120</v>
      </c>
      <c r="D325" s="450">
        <f t="shared" ref="D325:J325" si="586">D326</f>
        <v>1</v>
      </c>
      <c r="E325" s="57">
        <f t="shared" si="586"/>
        <v>1</v>
      </c>
      <c r="F325" s="57">
        <f t="shared" si="586"/>
        <v>5000</v>
      </c>
      <c r="G325" s="57">
        <f t="shared" si="586"/>
        <v>0</v>
      </c>
      <c r="H325" s="57">
        <f t="shared" si="586"/>
        <v>0</v>
      </c>
      <c r="I325" s="57">
        <f t="shared" si="586"/>
        <v>0</v>
      </c>
      <c r="J325" s="57">
        <f t="shared" si="586"/>
        <v>0</v>
      </c>
      <c r="K325" s="47"/>
      <c r="L325" s="47"/>
      <c r="M325" s="88"/>
      <c r="N325" s="39"/>
      <c r="O325" s="39"/>
      <c r="P325" s="39"/>
      <c r="Q325" s="39"/>
      <c r="R325" s="39"/>
      <c r="S325" s="39"/>
      <c r="T325" s="39"/>
      <c r="U325" s="90"/>
      <c r="V325" s="90"/>
      <c r="W325" s="57">
        <f>W326</f>
        <v>14540</v>
      </c>
      <c r="X325" s="264"/>
      <c r="Y325" s="57">
        <f t="shared" ref="Y325:AP325" si="587">Y326</f>
        <v>14540</v>
      </c>
      <c r="Z325" s="57">
        <f t="shared" si="587"/>
        <v>0</v>
      </c>
      <c r="AA325" s="57">
        <f t="shared" si="587"/>
        <v>11500</v>
      </c>
      <c r="AB325" s="318">
        <f t="shared" si="587"/>
        <v>0</v>
      </c>
      <c r="AC325" s="318">
        <f t="shared" si="587"/>
        <v>11500</v>
      </c>
      <c r="AD325" s="318">
        <f t="shared" si="587"/>
        <v>0</v>
      </c>
      <c r="AE325" s="318">
        <f t="shared" si="587"/>
        <v>0</v>
      </c>
      <c r="AF325" s="318">
        <f t="shared" si="587"/>
        <v>0</v>
      </c>
      <c r="AG325" s="318">
        <f t="shared" si="587"/>
        <v>0</v>
      </c>
      <c r="AH325" s="318">
        <f t="shared" si="587"/>
        <v>0</v>
      </c>
      <c r="AI325" s="318">
        <f t="shared" si="587"/>
        <v>0</v>
      </c>
      <c r="AJ325" s="57">
        <f t="shared" si="587"/>
        <v>0</v>
      </c>
      <c r="AK325" s="318">
        <f t="shared" si="587"/>
        <v>5000</v>
      </c>
      <c r="AL325" s="57">
        <f t="shared" si="587"/>
        <v>5000</v>
      </c>
      <c r="AM325" s="57">
        <f t="shared" si="587"/>
        <v>0</v>
      </c>
      <c r="AN325" s="57">
        <f t="shared" si="587"/>
        <v>5000</v>
      </c>
      <c r="AO325" s="57">
        <f t="shared" si="587"/>
        <v>0</v>
      </c>
      <c r="AP325" s="57">
        <f t="shared" si="587"/>
        <v>0</v>
      </c>
      <c r="AQ325" s="47"/>
      <c r="AR325" s="48"/>
      <c r="AS325" s="49"/>
    </row>
    <row r="326" spans="1:45" s="50" customFormat="1" ht="20.100000000000001" customHeight="1">
      <c r="B326" s="129" t="s">
        <v>188</v>
      </c>
      <c r="C326" s="348" t="s">
        <v>119</v>
      </c>
      <c r="D326" s="451">
        <f t="shared" ref="D326:M326" si="588">D327</f>
        <v>1</v>
      </c>
      <c r="E326" s="388">
        <f t="shared" si="588"/>
        <v>1</v>
      </c>
      <c r="F326" s="388">
        <f t="shared" si="588"/>
        <v>5000</v>
      </c>
      <c r="G326" s="388">
        <f t="shared" si="588"/>
        <v>0</v>
      </c>
      <c r="H326" s="388">
        <f t="shared" si="588"/>
        <v>0</v>
      </c>
      <c r="I326" s="388">
        <f t="shared" si="588"/>
        <v>0</v>
      </c>
      <c r="J326" s="388">
        <f t="shared" si="588"/>
        <v>0</v>
      </c>
      <c r="K326" s="388">
        <f t="shared" si="588"/>
        <v>0</v>
      </c>
      <c r="L326" s="388">
        <f t="shared" si="588"/>
        <v>0</v>
      </c>
      <c r="M326" s="388">
        <f t="shared" si="588"/>
        <v>0</v>
      </c>
      <c r="N326" s="388"/>
      <c r="O326" s="39"/>
      <c r="P326" s="39"/>
      <c r="Q326" s="39"/>
      <c r="R326" s="39"/>
      <c r="S326" s="39"/>
      <c r="T326" s="39"/>
      <c r="U326" s="90"/>
      <c r="V326" s="90"/>
      <c r="W326" s="388">
        <f>W327</f>
        <v>14540</v>
      </c>
      <c r="X326" s="264"/>
      <c r="Y326" s="388">
        <f t="shared" ref="Y326:AP326" si="589">Y327</f>
        <v>14540</v>
      </c>
      <c r="Z326" s="388">
        <f t="shared" si="589"/>
        <v>0</v>
      </c>
      <c r="AA326" s="388">
        <f t="shared" si="589"/>
        <v>11500</v>
      </c>
      <c r="AB326" s="419">
        <f t="shared" si="589"/>
        <v>0</v>
      </c>
      <c r="AC326" s="419">
        <f t="shared" si="589"/>
        <v>11500</v>
      </c>
      <c r="AD326" s="419">
        <f t="shared" si="589"/>
        <v>0</v>
      </c>
      <c r="AE326" s="419">
        <f t="shared" si="589"/>
        <v>0</v>
      </c>
      <c r="AF326" s="419">
        <f t="shared" si="589"/>
        <v>0</v>
      </c>
      <c r="AG326" s="419">
        <f t="shared" si="589"/>
        <v>0</v>
      </c>
      <c r="AH326" s="419">
        <f t="shared" si="589"/>
        <v>0</v>
      </c>
      <c r="AI326" s="419">
        <f t="shared" si="589"/>
        <v>0</v>
      </c>
      <c r="AJ326" s="388">
        <f t="shared" si="589"/>
        <v>0</v>
      </c>
      <c r="AK326" s="419">
        <f t="shared" si="589"/>
        <v>5000</v>
      </c>
      <c r="AL326" s="388">
        <f t="shared" si="589"/>
        <v>5000</v>
      </c>
      <c r="AM326" s="388">
        <f t="shared" si="589"/>
        <v>0</v>
      </c>
      <c r="AN326" s="388">
        <f t="shared" si="589"/>
        <v>5000</v>
      </c>
      <c r="AO326" s="388">
        <f t="shared" si="589"/>
        <v>0</v>
      </c>
      <c r="AP326" s="388">
        <f t="shared" si="589"/>
        <v>0</v>
      </c>
      <c r="AQ326" s="47"/>
      <c r="AR326" s="48"/>
      <c r="AS326" s="49"/>
    </row>
    <row r="327" spans="1:45" s="50" customFormat="1" ht="51" customHeight="1">
      <c r="B327" s="237"/>
      <c r="C327" s="125" t="s">
        <v>949</v>
      </c>
      <c r="D327" s="93">
        <v>1</v>
      </c>
      <c r="E327" s="47">
        <v>1</v>
      </c>
      <c r="F327" s="119">
        <f>E327*AL327</f>
        <v>5000</v>
      </c>
      <c r="G327" s="47"/>
      <c r="H327" s="47"/>
      <c r="I327" s="47"/>
      <c r="J327" s="47"/>
      <c r="K327" s="47"/>
      <c r="L327" s="47"/>
      <c r="M327" s="88"/>
      <c r="N327" s="39" t="s">
        <v>950</v>
      </c>
      <c r="O327" s="39" t="s">
        <v>294</v>
      </c>
      <c r="P327" s="39" t="s">
        <v>274</v>
      </c>
      <c r="Q327" s="39">
        <v>7929688</v>
      </c>
      <c r="R327" s="39"/>
      <c r="S327" s="39" t="s">
        <v>963</v>
      </c>
      <c r="T327" s="39" t="s">
        <v>116</v>
      </c>
      <c r="U327" s="90"/>
      <c r="V327" s="90" t="s">
        <v>964</v>
      </c>
      <c r="W327" s="58">
        <v>14540</v>
      </c>
      <c r="X327" s="264"/>
      <c r="Y327" s="58">
        <v>14540</v>
      </c>
      <c r="Z327" s="235"/>
      <c r="AA327" s="58">
        <v>11500</v>
      </c>
      <c r="AB327" s="219"/>
      <c r="AC327" s="264">
        <v>11500</v>
      </c>
      <c r="AD327" s="219"/>
      <c r="AE327" s="235"/>
      <c r="AF327" s="219"/>
      <c r="AG327" s="264"/>
      <c r="AH327" s="264"/>
      <c r="AI327" s="264"/>
      <c r="AJ327" s="47"/>
      <c r="AK327" s="264">
        <v>5000</v>
      </c>
      <c r="AL327" s="47">
        <f t="shared" ref="AL327" si="590">AM327+AN327+AO327</f>
        <v>5000</v>
      </c>
      <c r="AM327" s="58"/>
      <c r="AN327" s="58">
        <v>5000</v>
      </c>
      <c r="AO327" s="58"/>
      <c r="AP327" s="43"/>
      <c r="AQ327" s="47"/>
      <c r="AR327" s="48"/>
      <c r="AS327" s="49"/>
    </row>
    <row r="328" spans="1:45" s="50" customFormat="1" ht="85.5" customHeight="1">
      <c r="B328" s="36" t="s">
        <v>104</v>
      </c>
      <c r="C328" s="358" t="s">
        <v>238</v>
      </c>
      <c r="D328" s="247">
        <f t="shared" ref="D328:J328" si="591">D334+D329</f>
        <v>5</v>
      </c>
      <c r="E328" s="43">
        <f t="shared" si="591"/>
        <v>3</v>
      </c>
      <c r="F328" s="43">
        <f t="shared" si="591"/>
        <v>11746</v>
      </c>
      <c r="G328" s="43">
        <f t="shared" si="591"/>
        <v>2</v>
      </c>
      <c r="H328" s="43">
        <f t="shared" si="591"/>
        <v>400</v>
      </c>
      <c r="I328" s="43">
        <f t="shared" si="591"/>
        <v>0</v>
      </c>
      <c r="J328" s="43">
        <f t="shared" si="591"/>
        <v>0</v>
      </c>
      <c r="K328" s="43">
        <f>K334</f>
        <v>0</v>
      </c>
      <c r="L328" s="43">
        <f>L334</f>
        <v>3</v>
      </c>
      <c r="M328" s="246">
        <f>M334</f>
        <v>0</v>
      </c>
      <c r="N328" s="39"/>
      <c r="O328" s="39"/>
      <c r="P328" s="39"/>
      <c r="Q328" s="39"/>
      <c r="R328" s="39"/>
      <c r="S328" s="39"/>
      <c r="T328" s="39"/>
      <c r="U328" s="39"/>
      <c r="V328" s="39"/>
      <c r="W328" s="43">
        <f>W334+W329</f>
        <v>26307</v>
      </c>
      <c r="X328" s="235">
        <f>X334</f>
        <v>0</v>
      </c>
      <c r="Y328" s="43">
        <f t="shared" ref="Y328:AP328" si="592">Y334+Y329</f>
        <v>25284</v>
      </c>
      <c r="Z328" s="43">
        <f t="shared" si="592"/>
        <v>0</v>
      </c>
      <c r="AA328" s="43">
        <f t="shared" si="592"/>
        <v>17700</v>
      </c>
      <c r="AB328" s="235">
        <f t="shared" si="592"/>
        <v>12000</v>
      </c>
      <c r="AC328" s="235">
        <f t="shared" si="592"/>
        <v>0</v>
      </c>
      <c r="AD328" s="235">
        <f t="shared" si="592"/>
        <v>0</v>
      </c>
      <c r="AE328" s="235">
        <f t="shared" si="592"/>
        <v>0</v>
      </c>
      <c r="AF328" s="235">
        <f t="shared" si="592"/>
        <v>0</v>
      </c>
      <c r="AG328" s="235">
        <f t="shared" si="592"/>
        <v>0</v>
      </c>
      <c r="AH328" s="235">
        <f t="shared" si="592"/>
        <v>0</v>
      </c>
      <c r="AI328" s="235">
        <f t="shared" si="592"/>
        <v>5300</v>
      </c>
      <c r="AJ328" s="43">
        <f t="shared" si="592"/>
        <v>5300</v>
      </c>
      <c r="AK328" s="235">
        <f t="shared" si="592"/>
        <v>12146</v>
      </c>
      <c r="AL328" s="43">
        <f t="shared" si="592"/>
        <v>12146</v>
      </c>
      <c r="AM328" s="43">
        <f t="shared" si="592"/>
        <v>12146</v>
      </c>
      <c r="AN328" s="43">
        <f t="shared" si="592"/>
        <v>0</v>
      </c>
      <c r="AO328" s="43">
        <f t="shared" si="592"/>
        <v>0</v>
      </c>
      <c r="AP328" s="43">
        <f t="shared" si="592"/>
        <v>0</v>
      </c>
      <c r="AQ328" s="47"/>
      <c r="AR328" s="48">
        <f>AA328-(AF328+AI328+AL328)</f>
        <v>254</v>
      </c>
      <c r="AS328" s="49" t="e">
        <f>#REF!-AL328</f>
        <v>#REF!</v>
      </c>
    </row>
    <row r="329" spans="1:45" s="50" customFormat="1" ht="28.5">
      <c r="B329" s="36" t="s">
        <v>201</v>
      </c>
      <c r="C329" s="340" t="s">
        <v>175</v>
      </c>
      <c r="D329" s="247">
        <f t="shared" ref="D329:J330" si="593">D330</f>
        <v>2</v>
      </c>
      <c r="E329" s="43">
        <f t="shared" si="593"/>
        <v>0</v>
      </c>
      <c r="F329" s="43">
        <f t="shared" si="593"/>
        <v>0</v>
      </c>
      <c r="G329" s="43">
        <f t="shared" si="593"/>
        <v>2</v>
      </c>
      <c r="H329" s="43">
        <f t="shared" si="593"/>
        <v>400</v>
      </c>
      <c r="I329" s="43">
        <f t="shared" si="593"/>
        <v>0</v>
      </c>
      <c r="J329" s="43">
        <f t="shared" si="593"/>
        <v>0</v>
      </c>
      <c r="K329" s="43"/>
      <c r="L329" s="43"/>
      <c r="M329" s="246"/>
      <c r="N329" s="39"/>
      <c r="O329" s="39"/>
      <c r="P329" s="39"/>
      <c r="Q329" s="39"/>
      <c r="R329" s="39"/>
      <c r="S329" s="39"/>
      <c r="T329" s="39"/>
      <c r="U329" s="39"/>
      <c r="V329" s="39"/>
      <c r="W329" s="43">
        <f>W330</f>
        <v>10654</v>
      </c>
      <c r="X329" s="235"/>
      <c r="Y329" s="43">
        <f t="shared" ref="Y329:AP330" si="594">Y330</f>
        <v>10654</v>
      </c>
      <c r="Z329" s="43">
        <f t="shared" si="594"/>
        <v>0</v>
      </c>
      <c r="AA329" s="43">
        <f t="shared" si="594"/>
        <v>5700</v>
      </c>
      <c r="AB329" s="235">
        <f t="shared" si="594"/>
        <v>0</v>
      </c>
      <c r="AC329" s="235">
        <f t="shared" si="594"/>
        <v>0</v>
      </c>
      <c r="AD329" s="235">
        <f t="shared" si="594"/>
        <v>0</v>
      </c>
      <c r="AE329" s="235">
        <f t="shared" si="594"/>
        <v>0</v>
      </c>
      <c r="AF329" s="235">
        <f t="shared" si="594"/>
        <v>0</v>
      </c>
      <c r="AG329" s="235">
        <f t="shared" si="594"/>
        <v>0</v>
      </c>
      <c r="AH329" s="235">
        <f t="shared" si="594"/>
        <v>0</v>
      </c>
      <c r="AI329" s="235">
        <f t="shared" si="594"/>
        <v>5300</v>
      </c>
      <c r="AJ329" s="43">
        <f t="shared" si="594"/>
        <v>5300</v>
      </c>
      <c r="AK329" s="235">
        <f t="shared" si="594"/>
        <v>400</v>
      </c>
      <c r="AL329" s="43">
        <f t="shared" si="594"/>
        <v>400</v>
      </c>
      <c r="AM329" s="43">
        <f t="shared" si="594"/>
        <v>400</v>
      </c>
      <c r="AN329" s="43">
        <f t="shared" si="594"/>
        <v>0</v>
      </c>
      <c r="AO329" s="43">
        <f t="shared" si="594"/>
        <v>0</v>
      </c>
      <c r="AP329" s="43">
        <f t="shared" si="594"/>
        <v>0</v>
      </c>
      <c r="AQ329" s="47"/>
      <c r="AR329" s="48"/>
      <c r="AS329" s="49"/>
    </row>
    <row r="330" spans="1:45" s="50" customFormat="1">
      <c r="B330" s="129" t="s">
        <v>602</v>
      </c>
      <c r="C330" s="348" t="s">
        <v>119</v>
      </c>
      <c r="D330" s="439">
        <f t="shared" si="593"/>
        <v>2</v>
      </c>
      <c r="E330" s="69">
        <f t="shared" si="593"/>
        <v>0</v>
      </c>
      <c r="F330" s="69">
        <f t="shared" si="593"/>
        <v>0</v>
      </c>
      <c r="G330" s="69">
        <f t="shared" si="593"/>
        <v>2</v>
      </c>
      <c r="H330" s="69">
        <f t="shared" si="593"/>
        <v>400</v>
      </c>
      <c r="I330" s="69">
        <f t="shared" si="593"/>
        <v>0</v>
      </c>
      <c r="J330" s="69">
        <f t="shared" si="593"/>
        <v>0</v>
      </c>
      <c r="K330" s="43"/>
      <c r="L330" s="43"/>
      <c r="M330" s="246"/>
      <c r="N330" s="39"/>
      <c r="O330" s="39"/>
      <c r="P330" s="39"/>
      <c r="Q330" s="39"/>
      <c r="R330" s="39"/>
      <c r="S330" s="39"/>
      <c r="T330" s="39"/>
      <c r="U330" s="39"/>
      <c r="V330" s="39"/>
      <c r="W330" s="69">
        <f>W331</f>
        <v>10654</v>
      </c>
      <c r="X330" s="235"/>
      <c r="Y330" s="69">
        <f t="shared" si="594"/>
        <v>10654</v>
      </c>
      <c r="Z330" s="69">
        <f t="shared" si="594"/>
        <v>0</v>
      </c>
      <c r="AA330" s="69">
        <f t="shared" si="594"/>
        <v>5700</v>
      </c>
      <c r="AB330" s="236">
        <f t="shared" si="594"/>
        <v>0</v>
      </c>
      <c r="AC330" s="236">
        <f t="shared" si="594"/>
        <v>0</v>
      </c>
      <c r="AD330" s="236">
        <f t="shared" si="594"/>
        <v>0</v>
      </c>
      <c r="AE330" s="236">
        <f t="shared" si="594"/>
        <v>0</v>
      </c>
      <c r="AF330" s="236">
        <f t="shared" si="594"/>
        <v>0</v>
      </c>
      <c r="AG330" s="236">
        <f t="shared" si="594"/>
        <v>0</v>
      </c>
      <c r="AH330" s="236">
        <f t="shared" si="594"/>
        <v>0</v>
      </c>
      <c r="AI330" s="236">
        <f t="shared" si="594"/>
        <v>5300</v>
      </c>
      <c r="AJ330" s="69">
        <f t="shared" si="594"/>
        <v>5300</v>
      </c>
      <c r="AK330" s="236">
        <f t="shared" si="594"/>
        <v>400</v>
      </c>
      <c r="AL330" s="69">
        <f t="shared" si="594"/>
        <v>400</v>
      </c>
      <c r="AM330" s="69">
        <f t="shared" si="594"/>
        <v>400</v>
      </c>
      <c r="AN330" s="69">
        <f t="shared" si="594"/>
        <v>0</v>
      </c>
      <c r="AO330" s="69">
        <f t="shared" si="594"/>
        <v>0</v>
      </c>
      <c r="AP330" s="69">
        <f t="shared" si="594"/>
        <v>0</v>
      </c>
      <c r="AQ330" s="47"/>
      <c r="AR330" s="48"/>
      <c r="AS330" s="49"/>
    </row>
    <row r="331" spans="1:45" s="50" customFormat="1" ht="38.1" customHeight="1">
      <c r="B331" s="36"/>
      <c r="C331" s="346" t="s">
        <v>1013</v>
      </c>
      <c r="D331" s="247">
        <f t="shared" ref="D331:J331" si="595">D332+D333</f>
        <v>2</v>
      </c>
      <c r="E331" s="43">
        <f t="shared" si="595"/>
        <v>0</v>
      </c>
      <c r="F331" s="43">
        <f t="shared" si="595"/>
        <v>0</v>
      </c>
      <c r="G331" s="43">
        <f t="shared" si="595"/>
        <v>2</v>
      </c>
      <c r="H331" s="43">
        <f t="shared" si="595"/>
        <v>400</v>
      </c>
      <c r="I331" s="43">
        <f t="shared" si="595"/>
        <v>0</v>
      </c>
      <c r="J331" s="43">
        <f t="shared" si="595"/>
        <v>0</v>
      </c>
      <c r="K331" s="43"/>
      <c r="L331" s="43"/>
      <c r="M331" s="246"/>
      <c r="N331" s="39"/>
      <c r="O331" s="39"/>
      <c r="P331" s="39"/>
      <c r="Q331" s="39"/>
      <c r="R331" s="39"/>
      <c r="S331" s="39"/>
      <c r="T331" s="39"/>
      <c r="U331" s="39"/>
      <c r="V331" s="39"/>
      <c r="W331" s="43">
        <f>W332+W333</f>
        <v>10654</v>
      </c>
      <c r="X331" s="235"/>
      <c r="Y331" s="43">
        <f t="shared" ref="Y331:AP331" si="596">Y332+Y333</f>
        <v>10654</v>
      </c>
      <c r="Z331" s="43">
        <f t="shared" si="596"/>
        <v>0</v>
      </c>
      <c r="AA331" s="43">
        <f t="shared" si="596"/>
        <v>5700</v>
      </c>
      <c r="AB331" s="235">
        <f t="shared" si="596"/>
        <v>0</v>
      </c>
      <c r="AC331" s="235">
        <f t="shared" si="596"/>
        <v>0</v>
      </c>
      <c r="AD331" s="235">
        <f t="shared" si="596"/>
        <v>0</v>
      </c>
      <c r="AE331" s="235">
        <f t="shared" si="596"/>
        <v>0</v>
      </c>
      <c r="AF331" s="235">
        <f t="shared" si="596"/>
        <v>0</v>
      </c>
      <c r="AG331" s="235">
        <f t="shared" si="596"/>
        <v>0</v>
      </c>
      <c r="AH331" s="235">
        <f t="shared" si="596"/>
        <v>0</v>
      </c>
      <c r="AI331" s="235">
        <f t="shared" si="596"/>
        <v>5300</v>
      </c>
      <c r="AJ331" s="43">
        <f t="shared" si="596"/>
        <v>5300</v>
      </c>
      <c r="AK331" s="235">
        <f t="shared" si="596"/>
        <v>400</v>
      </c>
      <c r="AL331" s="43">
        <f t="shared" si="596"/>
        <v>400</v>
      </c>
      <c r="AM331" s="43">
        <f t="shared" si="596"/>
        <v>400</v>
      </c>
      <c r="AN331" s="43">
        <f t="shared" si="596"/>
        <v>0</v>
      </c>
      <c r="AO331" s="43">
        <f t="shared" si="596"/>
        <v>0</v>
      </c>
      <c r="AP331" s="43">
        <f t="shared" si="596"/>
        <v>0</v>
      </c>
      <c r="AQ331" s="47"/>
      <c r="AR331" s="48"/>
      <c r="AS331" s="49"/>
    </row>
    <row r="332" spans="1:45" s="50" customFormat="1" ht="67.5" customHeight="1">
      <c r="B332" s="237">
        <v>1</v>
      </c>
      <c r="C332" s="345" t="s">
        <v>1014</v>
      </c>
      <c r="D332" s="93">
        <v>1</v>
      </c>
      <c r="E332" s="47"/>
      <c r="F332" s="47"/>
      <c r="G332" s="47">
        <v>1</v>
      </c>
      <c r="H332" s="47">
        <f>G332*AL332</f>
        <v>300</v>
      </c>
      <c r="I332" s="47"/>
      <c r="J332" s="47"/>
      <c r="K332" s="47"/>
      <c r="L332" s="47"/>
      <c r="M332" s="242"/>
      <c r="N332" s="39" t="s">
        <v>704</v>
      </c>
      <c r="O332" s="39" t="s">
        <v>302</v>
      </c>
      <c r="P332" s="39" t="s">
        <v>303</v>
      </c>
      <c r="Q332" s="39">
        <v>7932686</v>
      </c>
      <c r="R332" s="39"/>
      <c r="S332" s="39"/>
      <c r="T332" s="39" t="s">
        <v>115</v>
      </c>
      <c r="U332" s="39"/>
      <c r="V332" s="39" t="s">
        <v>1016</v>
      </c>
      <c r="W332" s="47">
        <v>6558</v>
      </c>
      <c r="X332" s="120"/>
      <c r="Y332" s="47">
        <v>6558</v>
      </c>
      <c r="Z332" s="120"/>
      <c r="AA332" s="47">
        <v>4000</v>
      </c>
      <c r="AB332" s="120"/>
      <c r="AC332" s="120"/>
      <c r="AD332" s="120"/>
      <c r="AE332" s="120"/>
      <c r="AF332" s="120"/>
      <c r="AG332" s="120"/>
      <c r="AH332" s="120"/>
      <c r="AI332" s="120">
        <v>3700</v>
      </c>
      <c r="AJ332" s="47">
        <f t="shared" ref="AJ332:AJ333" si="597">AF332+AI332</f>
        <v>3700</v>
      </c>
      <c r="AK332" s="120">
        <v>300</v>
      </c>
      <c r="AL332" s="47">
        <f t="shared" ref="AL332:AL333" si="598">AM332+AN332+AO332</f>
        <v>300</v>
      </c>
      <c r="AM332" s="47">
        <v>300</v>
      </c>
      <c r="AN332" s="47"/>
      <c r="AO332" s="47"/>
      <c r="AP332" s="47"/>
      <c r="AQ332" s="47"/>
      <c r="AR332" s="48"/>
      <c r="AS332" s="49"/>
    </row>
    <row r="333" spans="1:45" s="50" customFormat="1" ht="59.1" customHeight="1">
      <c r="B333" s="237">
        <v>2</v>
      </c>
      <c r="C333" s="345" t="s">
        <v>1015</v>
      </c>
      <c r="D333" s="93">
        <v>1</v>
      </c>
      <c r="E333" s="47"/>
      <c r="F333" s="47"/>
      <c r="G333" s="47">
        <v>1</v>
      </c>
      <c r="H333" s="47">
        <f>G333*AL333</f>
        <v>100</v>
      </c>
      <c r="I333" s="47"/>
      <c r="J333" s="47"/>
      <c r="K333" s="47"/>
      <c r="L333" s="47"/>
      <c r="M333" s="242"/>
      <c r="N333" s="39" t="s">
        <v>704</v>
      </c>
      <c r="O333" s="39" t="s">
        <v>302</v>
      </c>
      <c r="P333" s="39" t="s">
        <v>303</v>
      </c>
      <c r="Q333" s="39">
        <v>7932685</v>
      </c>
      <c r="R333" s="39"/>
      <c r="S333" s="39"/>
      <c r="T333" s="39" t="s">
        <v>116</v>
      </c>
      <c r="U333" s="39"/>
      <c r="V333" s="39" t="s">
        <v>1017</v>
      </c>
      <c r="W333" s="47">
        <v>4096</v>
      </c>
      <c r="X333" s="120"/>
      <c r="Y333" s="47">
        <v>4096</v>
      </c>
      <c r="Z333" s="120"/>
      <c r="AA333" s="47">
        <v>1700</v>
      </c>
      <c r="AB333" s="120"/>
      <c r="AC333" s="120"/>
      <c r="AD333" s="120"/>
      <c r="AE333" s="120"/>
      <c r="AF333" s="120"/>
      <c r="AG333" s="120"/>
      <c r="AH333" s="120"/>
      <c r="AI333" s="120">
        <v>1600</v>
      </c>
      <c r="AJ333" s="47">
        <f t="shared" si="597"/>
        <v>1600</v>
      </c>
      <c r="AK333" s="120">
        <v>100</v>
      </c>
      <c r="AL333" s="47">
        <f t="shared" si="598"/>
        <v>100</v>
      </c>
      <c r="AM333" s="47">
        <v>100</v>
      </c>
      <c r="AN333" s="47"/>
      <c r="AO333" s="47"/>
      <c r="AP333" s="47"/>
      <c r="AQ333" s="47"/>
      <c r="AR333" s="48"/>
      <c r="AS333" s="49"/>
    </row>
    <row r="334" spans="1:45" s="50" customFormat="1" ht="43.5" customHeight="1">
      <c r="B334" s="36" t="s">
        <v>603</v>
      </c>
      <c r="C334" s="340" t="s">
        <v>120</v>
      </c>
      <c r="D334" s="247">
        <f t="shared" ref="D334" si="599">D335</f>
        <v>3</v>
      </c>
      <c r="E334" s="43">
        <f t="shared" ref="E334:J334" si="600">E335</f>
        <v>3</v>
      </c>
      <c r="F334" s="43">
        <f t="shared" si="600"/>
        <v>11746</v>
      </c>
      <c r="G334" s="43">
        <f t="shared" si="600"/>
        <v>0</v>
      </c>
      <c r="H334" s="43">
        <f t="shared" si="600"/>
        <v>0</v>
      </c>
      <c r="I334" s="43">
        <f t="shared" si="600"/>
        <v>0</v>
      </c>
      <c r="J334" s="43">
        <f t="shared" si="600"/>
        <v>0</v>
      </c>
      <c r="K334" s="43">
        <f t="shared" ref="K334:M334" si="601">K335</f>
        <v>0</v>
      </c>
      <c r="L334" s="43">
        <f t="shared" si="601"/>
        <v>3</v>
      </c>
      <c r="M334" s="246">
        <f t="shared" si="601"/>
        <v>0</v>
      </c>
      <c r="N334" s="39"/>
      <c r="O334" s="39"/>
      <c r="P334" s="39"/>
      <c r="Q334" s="39"/>
      <c r="R334" s="39"/>
      <c r="S334" s="39"/>
      <c r="T334" s="39"/>
      <c r="U334" s="39"/>
      <c r="V334" s="39"/>
      <c r="W334" s="43">
        <f t="shared" ref="W334" si="602">W335</f>
        <v>15653</v>
      </c>
      <c r="X334" s="235">
        <f t="shared" ref="X334" si="603">X335</f>
        <v>0</v>
      </c>
      <c r="Y334" s="43">
        <f t="shared" ref="Y334" si="604">Y335</f>
        <v>14630</v>
      </c>
      <c r="Z334" s="235">
        <f t="shared" ref="Z334" si="605">Z335</f>
        <v>0</v>
      </c>
      <c r="AA334" s="43">
        <f t="shared" ref="AA334:AJ334" si="606">AA335</f>
        <v>12000</v>
      </c>
      <c r="AB334" s="235">
        <f t="shared" si="606"/>
        <v>12000</v>
      </c>
      <c r="AC334" s="235">
        <f t="shared" si="606"/>
        <v>0</v>
      </c>
      <c r="AD334" s="235">
        <f t="shared" si="606"/>
        <v>0</v>
      </c>
      <c r="AE334" s="235">
        <f t="shared" si="606"/>
        <v>0</v>
      </c>
      <c r="AF334" s="235">
        <f t="shared" si="606"/>
        <v>0</v>
      </c>
      <c r="AG334" s="235">
        <f t="shared" si="606"/>
        <v>0</v>
      </c>
      <c r="AH334" s="235">
        <f t="shared" si="606"/>
        <v>0</v>
      </c>
      <c r="AI334" s="235">
        <f t="shared" si="606"/>
        <v>0</v>
      </c>
      <c r="AJ334" s="43">
        <f t="shared" si="606"/>
        <v>0</v>
      </c>
      <c r="AK334" s="235">
        <f t="shared" ref="AK334" si="607">AK335</f>
        <v>11746</v>
      </c>
      <c r="AL334" s="43">
        <f t="shared" ref="AL334" si="608">AL335</f>
        <v>11746</v>
      </c>
      <c r="AM334" s="43">
        <f t="shared" ref="AM334" si="609">AM335</f>
        <v>11746</v>
      </c>
      <c r="AN334" s="43">
        <f t="shared" ref="AN334" si="610">AN335</f>
        <v>0</v>
      </c>
      <c r="AO334" s="43">
        <f t="shared" ref="AO334" si="611">AO335</f>
        <v>0</v>
      </c>
      <c r="AP334" s="43"/>
      <c r="AQ334" s="47"/>
      <c r="AR334" s="48">
        <f t="shared" ref="AR334:AR340" si="612">AA334-(AF334+AI334+AL334)</f>
        <v>254</v>
      </c>
      <c r="AS334" s="49" t="e">
        <f>#REF!-AL334</f>
        <v>#REF!</v>
      </c>
    </row>
    <row r="335" spans="1:45" s="133" customFormat="1" ht="18" customHeight="1">
      <c r="B335" s="129" t="s">
        <v>604</v>
      </c>
      <c r="C335" s="348" t="s">
        <v>119</v>
      </c>
      <c r="D335" s="439">
        <f t="shared" ref="D335:J335" si="613">D336+D338</f>
        <v>3</v>
      </c>
      <c r="E335" s="69">
        <f t="shared" si="613"/>
        <v>3</v>
      </c>
      <c r="F335" s="69">
        <f t="shared" si="613"/>
        <v>11746</v>
      </c>
      <c r="G335" s="69">
        <f t="shared" si="613"/>
        <v>0</v>
      </c>
      <c r="H335" s="69">
        <f t="shared" si="613"/>
        <v>0</v>
      </c>
      <c r="I335" s="69">
        <f t="shared" si="613"/>
        <v>0</v>
      </c>
      <c r="J335" s="69">
        <f t="shared" si="613"/>
        <v>0</v>
      </c>
      <c r="K335" s="69">
        <f t="shared" ref="K335:M335" si="614">K336+K338</f>
        <v>0</v>
      </c>
      <c r="L335" s="69">
        <f t="shared" si="614"/>
        <v>3</v>
      </c>
      <c r="M335" s="273">
        <f t="shared" si="614"/>
        <v>0</v>
      </c>
      <c r="N335" s="122"/>
      <c r="O335" s="122"/>
      <c r="P335" s="122"/>
      <c r="Q335" s="122"/>
      <c r="R335" s="122"/>
      <c r="S335" s="122"/>
      <c r="T335" s="122"/>
      <c r="U335" s="122"/>
      <c r="V335" s="122"/>
      <c r="W335" s="69">
        <f t="shared" ref="W335:AP335" si="615">W336+W338</f>
        <v>15653</v>
      </c>
      <c r="X335" s="236">
        <f t="shared" si="615"/>
        <v>0</v>
      </c>
      <c r="Y335" s="69">
        <f t="shared" si="615"/>
        <v>14630</v>
      </c>
      <c r="Z335" s="236">
        <f t="shared" si="615"/>
        <v>0</v>
      </c>
      <c r="AA335" s="69">
        <f t="shared" si="615"/>
        <v>12000</v>
      </c>
      <c r="AB335" s="236">
        <f t="shared" ref="AB335:AJ335" si="616">AB336+AB338</f>
        <v>12000</v>
      </c>
      <c r="AC335" s="236">
        <f t="shared" si="616"/>
        <v>0</v>
      </c>
      <c r="AD335" s="236">
        <f t="shared" si="616"/>
        <v>0</v>
      </c>
      <c r="AE335" s="236">
        <f t="shared" si="616"/>
        <v>0</v>
      </c>
      <c r="AF335" s="236">
        <f t="shared" si="616"/>
        <v>0</v>
      </c>
      <c r="AG335" s="236">
        <f t="shared" si="616"/>
        <v>0</v>
      </c>
      <c r="AH335" s="236">
        <f t="shared" si="616"/>
        <v>0</v>
      </c>
      <c r="AI335" s="236">
        <f t="shared" si="616"/>
        <v>0</v>
      </c>
      <c r="AJ335" s="69">
        <f t="shared" si="616"/>
        <v>0</v>
      </c>
      <c r="AK335" s="236">
        <f t="shared" si="615"/>
        <v>11746</v>
      </c>
      <c r="AL335" s="69">
        <f t="shared" si="615"/>
        <v>11746</v>
      </c>
      <c r="AM335" s="69">
        <f t="shared" si="615"/>
        <v>11746</v>
      </c>
      <c r="AN335" s="69">
        <f t="shared" si="615"/>
        <v>0</v>
      </c>
      <c r="AO335" s="69">
        <f t="shared" si="615"/>
        <v>0</v>
      </c>
      <c r="AP335" s="69">
        <f t="shared" si="615"/>
        <v>0</v>
      </c>
      <c r="AQ335" s="130"/>
      <c r="AR335" s="131">
        <f t="shared" si="612"/>
        <v>254</v>
      </c>
      <c r="AS335" s="132" t="e">
        <f>#REF!-AL335</f>
        <v>#REF!</v>
      </c>
    </row>
    <row r="336" spans="1:45" s="50" customFormat="1" ht="33.950000000000003" customHeight="1">
      <c r="B336" s="36"/>
      <c r="C336" s="346" t="s">
        <v>952</v>
      </c>
      <c r="D336" s="247">
        <f t="shared" ref="D336:M336" si="617">SUM(D337:D337)</f>
        <v>1</v>
      </c>
      <c r="E336" s="43">
        <f t="shared" si="617"/>
        <v>1</v>
      </c>
      <c r="F336" s="43">
        <f t="shared" si="617"/>
        <v>4000</v>
      </c>
      <c r="G336" s="43">
        <f t="shared" si="617"/>
        <v>0</v>
      </c>
      <c r="H336" s="43">
        <f t="shared" si="617"/>
        <v>0</v>
      </c>
      <c r="I336" s="43">
        <f t="shared" si="617"/>
        <v>0</v>
      </c>
      <c r="J336" s="43">
        <f t="shared" si="617"/>
        <v>0</v>
      </c>
      <c r="K336" s="43">
        <f t="shared" si="617"/>
        <v>0</v>
      </c>
      <c r="L336" s="43">
        <f t="shared" si="617"/>
        <v>1</v>
      </c>
      <c r="M336" s="246">
        <f t="shared" si="617"/>
        <v>0</v>
      </c>
      <c r="N336" s="39"/>
      <c r="O336" s="39"/>
      <c r="P336" s="39"/>
      <c r="Q336" s="39"/>
      <c r="R336" s="39"/>
      <c r="S336" s="39"/>
      <c r="T336" s="39"/>
      <c r="U336" s="39"/>
      <c r="V336" s="39"/>
      <c r="W336" s="43">
        <f t="shared" ref="W336:AP336" si="618">SUM(W337:W337)</f>
        <v>4400</v>
      </c>
      <c r="X336" s="235">
        <f t="shared" si="618"/>
        <v>0</v>
      </c>
      <c r="Y336" s="43">
        <f t="shared" si="618"/>
        <v>4000</v>
      </c>
      <c r="Z336" s="235">
        <f t="shared" si="618"/>
        <v>0</v>
      </c>
      <c r="AA336" s="43">
        <f t="shared" si="618"/>
        <v>4000</v>
      </c>
      <c r="AB336" s="235">
        <f t="shared" si="618"/>
        <v>4000</v>
      </c>
      <c r="AC336" s="235">
        <f t="shared" si="618"/>
        <v>0</v>
      </c>
      <c r="AD336" s="235">
        <f t="shared" si="618"/>
        <v>0</v>
      </c>
      <c r="AE336" s="235">
        <f t="shared" si="618"/>
        <v>0</v>
      </c>
      <c r="AF336" s="235">
        <f t="shared" si="618"/>
        <v>0</v>
      </c>
      <c r="AG336" s="235">
        <f t="shared" si="618"/>
        <v>0</v>
      </c>
      <c r="AH336" s="235">
        <f t="shared" si="618"/>
        <v>0</v>
      </c>
      <c r="AI336" s="235">
        <f t="shared" si="618"/>
        <v>0</v>
      </c>
      <c r="AJ336" s="43">
        <f t="shared" si="618"/>
        <v>0</v>
      </c>
      <c r="AK336" s="235">
        <f t="shared" si="618"/>
        <v>4000</v>
      </c>
      <c r="AL336" s="43">
        <f t="shared" si="618"/>
        <v>4000</v>
      </c>
      <c r="AM336" s="43">
        <f t="shared" si="618"/>
        <v>4000</v>
      </c>
      <c r="AN336" s="43">
        <f t="shared" si="618"/>
        <v>0</v>
      </c>
      <c r="AO336" s="43">
        <f t="shared" si="618"/>
        <v>0</v>
      </c>
      <c r="AP336" s="43">
        <f t="shared" si="618"/>
        <v>0</v>
      </c>
      <c r="AQ336" s="47"/>
      <c r="AR336" s="48">
        <f t="shared" si="612"/>
        <v>0</v>
      </c>
      <c r="AS336" s="49" t="e">
        <f>#REF!-AL336</f>
        <v>#REF!</v>
      </c>
    </row>
    <row r="337" spans="1:45" s="50" customFormat="1" ht="55.5" customHeight="1">
      <c r="B337" s="237">
        <v>1</v>
      </c>
      <c r="C337" s="125" t="s">
        <v>790</v>
      </c>
      <c r="D337" s="93">
        <v>1</v>
      </c>
      <c r="E337" s="47">
        <v>1</v>
      </c>
      <c r="F337" s="119">
        <f>E337*AL337</f>
        <v>4000</v>
      </c>
      <c r="G337" s="47"/>
      <c r="H337" s="47"/>
      <c r="I337" s="47"/>
      <c r="J337" s="47"/>
      <c r="K337" s="47"/>
      <c r="L337" s="47">
        <v>1</v>
      </c>
      <c r="M337" s="88"/>
      <c r="N337" s="39" t="s">
        <v>136</v>
      </c>
      <c r="O337" s="39" t="s">
        <v>229</v>
      </c>
      <c r="P337" s="39" t="s">
        <v>230</v>
      </c>
      <c r="Q337" s="39">
        <v>7915927</v>
      </c>
      <c r="R337" s="39"/>
      <c r="S337" s="39"/>
      <c r="T337" s="39" t="s">
        <v>116</v>
      </c>
      <c r="U337" s="93" t="s">
        <v>239</v>
      </c>
      <c r="V337" s="93" t="s">
        <v>565</v>
      </c>
      <c r="W337" s="47">
        <v>4400</v>
      </c>
      <c r="X337" s="235"/>
      <c r="Y337" s="42">
        <v>4000</v>
      </c>
      <c r="Z337" s="235"/>
      <c r="AA337" s="42">
        <v>4000</v>
      </c>
      <c r="AB337" s="218">
        <v>4000</v>
      </c>
      <c r="AC337" s="235"/>
      <c r="AD337" s="235"/>
      <c r="AE337" s="235"/>
      <c r="AF337" s="235"/>
      <c r="AG337" s="235"/>
      <c r="AH337" s="235"/>
      <c r="AI337" s="235"/>
      <c r="AJ337" s="47">
        <f>AF337+AI337</f>
        <v>0</v>
      </c>
      <c r="AK337" s="218">
        <v>4000</v>
      </c>
      <c r="AL337" s="47">
        <f t="shared" ref="AL337" si="619">AM337+AN337+AO337</f>
        <v>4000</v>
      </c>
      <c r="AM337" s="42">
        <v>4000</v>
      </c>
      <c r="AN337" s="43"/>
      <c r="AO337" s="43"/>
      <c r="AP337" s="43"/>
      <c r="AQ337" s="47"/>
      <c r="AR337" s="48">
        <f t="shared" si="612"/>
        <v>0</v>
      </c>
      <c r="AS337" s="49" t="e">
        <f>#REF!-AL337</f>
        <v>#REF!</v>
      </c>
    </row>
    <row r="338" spans="1:45" s="50" customFormat="1" ht="34.5" customHeight="1">
      <c r="B338" s="36"/>
      <c r="C338" s="340" t="s">
        <v>951</v>
      </c>
      <c r="D338" s="247">
        <f t="shared" ref="D338:J338" si="620">SUM(D339:D340)</f>
        <v>2</v>
      </c>
      <c r="E338" s="43">
        <f t="shared" si="620"/>
        <v>2</v>
      </c>
      <c r="F338" s="43">
        <f t="shared" si="620"/>
        <v>7746</v>
      </c>
      <c r="G338" s="43">
        <f t="shared" si="620"/>
        <v>0</v>
      </c>
      <c r="H338" s="43">
        <f t="shared" si="620"/>
        <v>0</v>
      </c>
      <c r="I338" s="43">
        <f t="shared" si="620"/>
        <v>0</v>
      </c>
      <c r="J338" s="43">
        <f t="shared" si="620"/>
        <v>0</v>
      </c>
      <c r="K338" s="43">
        <f t="shared" ref="K338:M338" si="621">SUM(K339:K340)</f>
        <v>0</v>
      </c>
      <c r="L338" s="43">
        <f t="shared" si="621"/>
        <v>2</v>
      </c>
      <c r="M338" s="246">
        <f t="shared" si="621"/>
        <v>0</v>
      </c>
      <c r="N338" s="39"/>
      <c r="O338" s="39"/>
      <c r="P338" s="39"/>
      <c r="Q338" s="39"/>
      <c r="R338" s="39"/>
      <c r="S338" s="39"/>
      <c r="T338" s="39"/>
      <c r="U338" s="39"/>
      <c r="V338" s="39"/>
      <c r="W338" s="43">
        <f t="shared" ref="W338" si="622">SUM(W339:W340)</f>
        <v>11253</v>
      </c>
      <c r="X338" s="235">
        <f t="shared" ref="X338" si="623">SUM(X339:X340)</f>
        <v>0</v>
      </c>
      <c r="Y338" s="43">
        <f t="shared" ref="Y338" si="624">SUM(Y339:Y340)</f>
        <v>10630</v>
      </c>
      <c r="Z338" s="235">
        <f t="shared" ref="Z338" si="625">SUM(Z339:Z340)</f>
        <v>0</v>
      </c>
      <c r="AA338" s="43">
        <f t="shared" ref="AA338:AJ338" si="626">SUM(AA339:AA340)</f>
        <v>8000</v>
      </c>
      <c r="AB338" s="235">
        <f t="shared" si="626"/>
        <v>8000</v>
      </c>
      <c r="AC338" s="235">
        <f t="shared" si="626"/>
        <v>0</v>
      </c>
      <c r="AD338" s="235">
        <f t="shared" si="626"/>
        <v>0</v>
      </c>
      <c r="AE338" s="235">
        <f t="shared" si="626"/>
        <v>0</v>
      </c>
      <c r="AF338" s="235">
        <f t="shared" si="626"/>
        <v>0</v>
      </c>
      <c r="AG338" s="235">
        <f t="shared" si="626"/>
        <v>0</v>
      </c>
      <c r="AH338" s="235">
        <f t="shared" si="626"/>
        <v>0</v>
      </c>
      <c r="AI338" s="235">
        <f t="shared" si="626"/>
        <v>0</v>
      </c>
      <c r="AJ338" s="43">
        <f t="shared" si="626"/>
        <v>0</v>
      </c>
      <c r="AK338" s="235">
        <f t="shared" ref="AK338" si="627">SUM(AK339:AK340)</f>
        <v>7746</v>
      </c>
      <c r="AL338" s="43">
        <f t="shared" ref="AL338" si="628">SUM(AL339:AL340)</f>
        <v>7746</v>
      </c>
      <c r="AM338" s="43">
        <f t="shared" ref="AM338" si="629">SUM(AM339:AM340)</f>
        <v>7746</v>
      </c>
      <c r="AN338" s="43">
        <f t="shared" ref="AN338" si="630">SUM(AN339:AN340)</f>
        <v>0</v>
      </c>
      <c r="AO338" s="43">
        <f t="shared" ref="AO338" si="631">SUM(AO339:AO340)</f>
        <v>0</v>
      </c>
      <c r="AP338" s="43">
        <f t="shared" ref="AP338" si="632">SUM(AP339:AP340)</f>
        <v>0</v>
      </c>
      <c r="AQ338" s="47"/>
      <c r="AR338" s="48">
        <f t="shared" si="612"/>
        <v>254</v>
      </c>
      <c r="AS338" s="49" t="e">
        <f>#REF!-AL338</f>
        <v>#REF!</v>
      </c>
    </row>
    <row r="339" spans="1:45" s="50" customFormat="1" ht="59.1" customHeight="1">
      <c r="B339" s="237">
        <v>1</v>
      </c>
      <c r="C339" s="284" t="s">
        <v>791</v>
      </c>
      <c r="D339" s="93">
        <v>1</v>
      </c>
      <c r="E339" s="47">
        <v>1</v>
      </c>
      <c r="F339" s="119">
        <f>E339*AL339</f>
        <v>4000</v>
      </c>
      <c r="G339" s="47"/>
      <c r="H339" s="47"/>
      <c r="I339" s="47"/>
      <c r="J339" s="47"/>
      <c r="K339" s="47"/>
      <c r="L339" s="47">
        <v>1</v>
      </c>
      <c r="M339" s="88"/>
      <c r="N339" s="39" t="s">
        <v>161</v>
      </c>
      <c r="O339" s="39" t="s">
        <v>362</v>
      </c>
      <c r="P339" s="39" t="s">
        <v>363</v>
      </c>
      <c r="Q339" s="39">
        <v>7922023</v>
      </c>
      <c r="R339" s="39"/>
      <c r="S339" s="39" t="s">
        <v>369</v>
      </c>
      <c r="T339" s="39" t="s">
        <v>115</v>
      </c>
      <c r="U339" s="39" t="s">
        <v>543</v>
      </c>
      <c r="V339" s="39" t="s">
        <v>566</v>
      </c>
      <c r="W339" s="61">
        <v>6630</v>
      </c>
      <c r="X339" s="285"/>
      <c r="Y339" s="61">
        <v>6630</v>
      </c>
      <c r="Z339" s="235"/>
      <c r="AA339" s="68">
        <v>4000</v>
      </c>
      <c r="AB339" s="250">
        <v>4000</v>
      </c>
      <c r="AC339" s="235"/>
      <c r="AD339" s="235"/>
      <c r="AE339" s="235"/>
      <c r="AF339" s="235"/>
      <c r="AG339" s="235"/>
      <c r="AH339" s="235"/>
      <c r="AI339" s="235"/>
      <c r="AJ339" s="47">
        <f>AF339+AI339</f>
        <v>0</v>
      </c>
      <c r="AK339" s="217">
        <v>4000</v>
      </c>
      <c r="AL339" s="47">
        <f t="shared" ref="AL339:AL341" si="633">AM339+AN339+AO339</f>
        <v>4000</v>
      </c>
      <c r="AM339" s="46">
        <v>4000</v>
      </c>
      <c r="AN339" s="43"/>
      <c r="AO339" s="43"/>
      <c r="AP339" s="43"/>
      <c r="AQ339" s="47"/>
      <c r="AR339" s="48">
        <f t="shared" si="612"/>
        <v>0</v>
      </c>
      <c r="AS339" s="49" t="e">
        <f>#REF!-AL339</f>
        <v>#REF!</v>
      </c>
    </row>
    <row r="340" spans="1:45" s="50" customFormat="1" ht="59.1" customHeight="1">
      <c r="B340" s="237">
        <v>2</v>
      </c>
      <c r="C340" s="284" t="s">
        <v>792</v>
      </c>
      <c r="D340" s="93">
        <v>1</v>
      </c>
      <c r="E340" s="47">
        <v>1</v>
      </c>
      <c r="F340" s="119">
        <f>E340*AL340</f>
        <v>3746</v>
      </c>
      <c r="G340" s="47"/>
      <c r="H340" s="47"/>
      <c r="I340" s="47"/>
      <c r="J340" s="47"/>
      <c r="K340" s="47"/>
      <c r="L340" s="47">
        <v>1</v>
      </c>
      <c r="M340" s="88"/>
      <c r="N340" s="39" t="s">
        <v>161</v>
      </c>
      <c r="O340" s="39" t="s">
        <v>362</v>
      </c>
      <c r="P340" s="39" t="s">
        <v>363</v>
      </c>
      <c r="Q340" s="39">
        <v>7922022</v>
      </c>
      <c r="R340" s="39"/>
      <c r="S340" s="137" t="s">
        <v>369</v>
      </c>
      <c r="T340" s="39" t="s">
        <v>115</v>
      </c>
      <c r="U340" s="39" t="s">
        <v>544</v>
      </c>
      <c r="V340" s="39" t="s">
        <v>567</v>
      </c>
      <c r="W340" s="61">
        <v>4623</v>
      </c>
      <c r="X340" s="231"/>
      <c r="Y340" s="68">
        <v>4000</v>
      </c>
      <c r="Z340" s="235"/>
      <c r="AA340" s="68">
        <v>4000</v>
      </c>
      <c r="AB340" s="250">
        <v>4000</v>
      </c>
      <c r="AC340" s="235"/>
      <c r="AD340" s="235"/>
      <c r="AE340" s="235"/>
      <c r="AF340" s="235"/>
      <c r="AG340" s="235"/>
      <c r="AH340" s="235"/>
      <c r="AI340" s="235"/>
      <c r="AJ340" s="47">
        <f>AF340+AI340</f>
        <v>0</v>
      </c>
      <c r="AK340" s="217">
        <v>3746</v>
      </c>
      <c r="AL340" s="47">
        <f t="shared" si="633"/>
        <v>3746</v>
      </c>
      <c r="AM340" s="46">
        <v>3746</v>
      </c>
      <c r="AN340" s="43"/>
      <c r="AO340" s="43"/>
      <c r="AP340" s="43"/>
      <c r="AQ340" s="47"/>
      <c r="AR340" s="48">
        <f t="shared" si="612"/>
        <v>254</v>
      </c>
      <c r="AS340" s="49" t="e">
        <f>#REF!-AL340</f>
        <v>#REF!</v>
      </c>
    </row>
    <row r="341" spans="1:45" s="72" customFormat="1" ht="57.6" customHeight="1">
      <c r="A341" s="72" t="s">
        <v>104</v>
      </c>
      <c r="B341" s="36" t="s">
        <v>105</v>
      </c>
      <c r="C341" s="340" t="s">
        <v>1056</v>
      </c>
      <c r="D341" s="247">
        <v>1</v>
      </c>
      <c r="E341" s="43"/>
      <c r="F341" s="43"/>
      <c r="G341" s="43"/>
      <c r="H341" s="43"/>
      <c r="I341" s="43">
        <v>1</v>
      </c>
      <c r="J341" s="47">
        <f>I341*AL341</f>
        <v>127830</v>
      </c>
      <c r="K341" s="43"/>
      <c r="L341" s="43">
        <v>1</v>
      </c>
      <c r="M341" s="233"/>
      <c r="N341" s="80" t="s">
        <v>532</v>
      </c>
      <c r="O341" s="80"/>
      <c r="P341" s="80" t="s">
        <v>868</v>
      </c>
      <c r="Q341" s="80"/>
      <c r="R341" s="80"/>
      <c r="S341" s="80"/>
      <c r="T341" s="138" t="s">
        <v>113</v>
      </c>
      <c r="U341" s="139"/>
      <c r="V341" s="373" t="s">
        <v>867</v>
      </c>
      <c r="W341" s="141">
        <v>443620</v>
      </c>
      <c r="X341" s="286">
        <v>443620</v>
      </c>
      <c r="Y341" s="141">
        <v>443620</v>
      </c>
      <c r="Z341" s="235"/>
      <c r="AA341" s="141">
        <v>443620</v>
      </c>
      <c r="AB341" s="420"/>
      <c r="AC341" s="235">
        <v>972150</v>
      </c>
      <c r="AD341" s="286">
        <v>443620</v>
      </c>
      <c r="AE341" s="235"/>
      <c r="AF341" s="235"/>
      <c r="AG341" s="235"/>
      <c r="AH341" s="235"/>
      <c r="AI341" s="286">
        <v>125090</v>
      </c>
      <c r="AJ341" s="43">
        <f>AF341+AI341</f>
        <v>125090</v>
      </c>
      <c r="AK341" s="286">
        <v>127830</v>
      </c>
      <c r="AL341" s="43">
        <f t="shared" si="633"/>
        <v>127830</v>
      </c>
      <c r="AM341" s="141"/>
      <c r="AN341" s="43"/>
      <c r="AO341" s="141">
        <v>127830</v>
      </c>
      <c r="AP341" s="43"/>
      <c r="AQ341" s="43"/>
      <c r="AR341" s="143"/>
      <c r="AS341" s="49" t="e">
        <f>#REF!-AL341</f>
        <v>#REF!</v>
      </c>
    </row>
    <row r="342" spans="1:45">
      <c r="B342" s="144"/>
      <c r="C342" s="359"/>
      <c r="D342" s="38"/>
      <c r="E342" s="68"/>
      <c r="F342" s="68"/>
      <c r="G342" s="68"/>
      <c r="H342" s="68"/>
      <c r="I342" s="68"/>
      <c r="J342" s="68"/>
      <c r="K342" s="68"/>
      <c r="L342" s="68"/>
      <c r="M342" s="287"/>
      <c r="N342" s="40"/>
      <c r="O342" s="40"/>
      <c r="P342" s="40"/>
      <c r="Q342" s="40"/>
      <c r="R342" s="40"/>
      <c r="S342" s="38"/>
      <c r="T342" s="144"/>
      <c r="U342" s="144"/>
      <c r="V342" s="144"/>
      <c r="W342" s="70"/>
      <c r="X342" s="288"/>
      <c r="Y342" s="70"/>
      <c r="Z342" s="288"/>
      <c r="AA342" s="70"/>
      <c r="AB342" s="288"/>
      <c r="AC342" s="288"/>
      <c r="AD342" s="288"/>
      <c r="AE342" s="288"/>
      <c r="AF342" s="288"/>
      <c r="AG342" s="288"/>
      <c r="AH342" s="288"/>
      <c r="AI342" s="288"/>
      <c r="AJ342" s="70"/>
      <c r="AK342" s="288"/>
      <c r="AL342" s="70"/>
      <c r="AM342" s="70"/>
      <c r="AN342" s="70"/>
      <c r="AO342" s="70"/>
      <c r="AP342" s="70"/>
      <c r="AQ342" s="70"/>
      <c r="AR342" s="48">
        <f>AA342-(AF342+AI342+AL342)</f>
        <v>0</v>
      </c>
      <c r="AS342" s="49" t="e">
        <f>#REF!-AL342</f>
        <v>#REF!</v>
      </c>
    </row>
    <row r="343" spans="1:45" s="50" customFormat="1" ht="18" customHeight="1">
      <c r="B343" s="36" t="s">
        <v>976</v>
      </c>
      <c r="C343" s="340" t="s">
        <v>38</v>
      </c>
      <c r="D343" s="247">
        <f t="shared" ref="D343:M343" si="634">D344+D353+D365+D362</f>
        <v>31</v>
      </c>
      <c r="E343" s="43">
        <f t="shared" si="634"/>
        <v>6</v>
      </c>
      <c r="F343" s="43">
        <f t="shared" si="634"/>
        <v>830630</v>
      </c>
      <c r="G343" s="43">
        <f t="shared" si="634"/>
        <v>14</v>
      </c>
      <c r="H343" s="43">
        <f t="shared" si="634"/>
        <v>125330</v>
      </c>
      <c r="I343" s="43">
        <f t="shared" si="634"/>
        <v>11</v>
      </c>
      <c r="J343" s="43">
        <f t="shared" si="634"/>
        <v>913000</v>
      </c>
      <c r="K343" s="43" t="e">
        <f t="shared" si="634"/>
        <v>#REF!</v>
      </c>
      <c r="L343" s="43" t="e">
        <f t="shared" si="634"/>
        <v>#REF!</v>
      </c>
      <c r="M343" s="43" t="e">
        <f t="shared" si="634"/>
        <v>#REF!</v>
      </c>
      <c r="N343" s="39"/>
      <c r="O343" s="39"/>
      <c r="P343" s="39"/>
      <c r="Q343" s="39"/>
      <c r="R343" s="39"/>
      <c r="S343" s="93"/>
      <c r="T343" s="39"/>
      <c r="U343" s="39"/>
      <c r="V343" s="39"/>
      <c r="W343" s="43">
        <f t="shared" ref="W343:AP343" si="635">W344+W353+W365+W362</f>
        <v>9364483.0370000005</v>
      </c>
      <c r="X343" s="235" t="e">
        <f t="shared" si="635"/>
        <v>#REF!</v>
      </c>
      <c r="Y343" s="43">
        <f t="shared" si="635"/>
        <v>7439898</v>
      </c>
      <c r="Z343" s="235">
        <f t="shared" si="635"/>
        <v>120000</v>
      </c>
      <c r="AA343" s="43">
        <f t="shared" si="635"/>
        <v>4676410</v>
      </c>
      <c r="AB343" s="235">
        <f t="shared" si="635"/>
        <v>261360</v>
      </c>
      <c r="AC343" s="235">
        <f t="shared" si="635"/>
        <v>1548850</v>
      </c>
      <c r="AD343" s="235">
        <f t="shared" si="635"/>
        <v>2724200</v>
      </c>
      <c r="AE343" s="235">
        <f t="shared" si="635"/>
        <v>0</v>
      </c>
      <c r="AF343" s="235">
        <f t="shared" si="635"/>
        <v>409957.14500000002</v>
      </c>
      <c r="AG343" s="235">
        <f t="shared" si="635"/>
        <v>1174579</v>
      </c>
      <c r="AH343" s="235">
        <f t="shared" si="635"/>
        <v>359328.28700000001</v>
      </c>
      <c r="AI343" s="235">
        <f t="shared" si="635"/>
        <v>1365126</v>
      </c>
      <c r="AJ343" s="43">
        <f t="shared" si="635"/>
        <v>1775083.145</v>
      </c>
      <c r="AK343" s="235">
        <f t="shared" si="635"/>
        <v>1939969</v>
      </c>
      <c r="AL343" s="43">
        <f t="shared" si="635"/>
        <v>1868960</v>
      </c>
      <c r="AM343" s="43">
        <f t="shared" si="635"/>
        <v>0</v>
      </c>
      <c r="AN343" s="43">
        <f t="shared" si="635"/>
        <v>416960</v>
      </c>
      <c r="AO343" s="43">
        <f t="shared" si="635"/>
        <v>707000</v>
      </c>
      <c r="AP343" s="43">
        <f t="shared" si="635"/>
        <v>745000</v>
      </c>
      <c r="AQ343" s="47"/>
      <c r="AR343" s="48">
        <f>AA343-(AF343+AI343+AL343)</f>
        <v>1032366.855</v>
      </c>
      <c r="AS343" s="49" t="e">
        <f>#REF!-AL343</f>
        <v>#REF!</v>
      </c>
    </row>
    <row r="344" spans="1:45" s="50" customFormat="1" ht="36.6" customHeight="1">
      <c r="B344" s="36" t="s">
        <v>50</v>
      </c>
      <c r="C344" s="340" t="s">
        <v>175</v>
      </c>
      <c r="D344" s="247">
        <f t="shared" ref="D344:M344" si="636">D345+D348</f>
        <v>6</v>
      </c>
      <c r="E344" s="43">
        <f t="shared" si="636"/>
        <v>0</v>
      </c>
      <c r="F344" s="43">
        <f t="shared" si="636"/>
        <v>0</v>
      </c>
      <c r="G344" s="43">
        <f t="shared" si="636"/>
        <v>6</v>
      </c>
      <c r="H344" s="43">
        <f t="shared" si="636"/>
        <v>74730</v>
      </c>
      <c r="I344" s="43">
        <f t="shared" si="636"/>
        <v>0</v>
      </c>
      <c r="J344" s="43">
        <f t="shared" si="636"/>
        <v>0</v>
      </c>
      <c r="K344" s="43" t="e">
        <f t="shared" si="636"/>
        <v>#REF!</v>
      </c>
      <c r="L344" s="43" t="e">
        <f t="shared" si="636"/>
        <v>#REF!</v>
      </c>
      <c r="M344" s="43" t="e">
        <f t="shared" si="636"/>
        <v>#REF!</v>
      </c>
      <c r="N344" s="39"/>
      <c r="O344" s="39"/>
      <c r="P344" s="39"/>
      <c r="Q344" s="39"/>
      <c r="R344" s="39"/>
      <c r="S344" s="39"/>
      <c r="T344" s="39"/>
      <c r="U344" s="39"/>
      <c r="V344" s="39"/>
      <c r="W344" s="43">
        <f t="shared" ref="W344:AO344" si="637">W345+W348</f>
        <v>636842.98699999996</v>
      </c>
      <c r="X344" s="235">
        <f t="shared" si="637"/>
        <v>0</v>
      </c>
      <c r="Y344" s="43">
        <f t="shared" si="637"/>
        <v>579757</v>
      </c>
      <c r="Z344" s="235">
        <f t="shared" si="637"/>
        <v>120000</v>
      </c>
      <c r="AA344" s="43">
        <f t="shared" si="637"/>
        <v>435320</v>
      </c>
      <c r="AB344" s="235">
        <f t="shared" si="637"/>
        <v>21000</v>
      </c>
      <c r="AC344" s="235">
        <f t="shared" si="637"/>
        <v>403320</v>
      </c>
      <c r="AD344" s="235">
        <f t="shared" si="637"/>
        <v>0</v>
      </c>
      <c r="AE344" s="235">
        <f t="shared" si="637"/>
        <v>0</v>
      </c>
      <c r="AF344" s="235">
        <f t="shared" si="637"/>
        <v>164565.38800000001</v>
      </c>
      <c r="AG344" s="235">
        <f t="shared" si="637"/>
        <v>206160</v>
      </c>
      <c r="AH344" s="235">
        <f t="shared" si="637"/>
        <v>64964.32</v>
      </c>
      <c r="AI344" s="235">
        <f t="shared" si="637"/>
        <v>137251</v>
      </c>
      <c r="AJ344" s="43">
        <f t="shared" si="637"/>
        <v>301816.38800000004</v>
      </c>
      <c r="AK344" s="235">
        <f t="shared" si="637"/>
        <v>74943</v>
      </c>
      <c r="AL344" s="43">
        <f t="shared" si="637"/>
        <v>74730</v>
      </c>
      <c r="AM344" s="43">
        <f t="shared" si="637"/>
        <v>0</v>
      </c>
      <c r="AN344" s="43">
        <f t="shared" si="637"/>
        <v>74730</v>
      </c>
      <c r="AO344" s="43">
        <f t="shared" si="637"/>
        <v>0</v>
      </c>
      <c r="AP344" s="43">
        <f t="shared" ref="AP344" si="638">AP345+AP348</f>
        <v>0</v>
      </c>
      <c r="AQ344" s="47"/>
      <c r="AR344" s="48">
        <f>AA344-(AF344+AI344+AL344)</f>
        <v>58773.611999999965</v>
      </c>
      <c r="AS344" s="49" t="e">
        <f>#REF!-AL344</f>
        <v>#REF!</v>
      </c>
    </row>
    <row r="345" spans="1:45" s="133" customFormat="1" ht="24.95" customHeight="1">
      <c r="B345" s="129" t="s">
        <v>106</v>
      </c>
      <c r="C345" s="348" t="s">
        <v>107</v>
      </c>
      <c r="D345" s="439">
        <f t="shared" ref="D345:J345" si="639">D346+D347</f>
        <v>2</v>
      </c>
      <c r="E345" s="69">
        <f t="shared" si="639"/>
        <v>0</v>
      </c>
      <c r="F345" s="69">
        <f t="shared" si="639"/>
        <v>0</v>
      </c>
      <c r="G345" s="69">
        <f t="shared" si="639"/>
        <v>2</v>
      </c>
      <c r="H345" s="69">
        <f t="shared" si="639"/>
        <v>54800</v>
      </c>
      <c r="I345" s="69">
        <f t="shared" si="639"/>
        <v>0</v>
      </c>
      <c r="J345" s="69">
        <f t="shared" si="639"/>
        <v>0</v>
      </c>
      <c r="K345" s="69" t="e">
        <f>#REF!+K346</f>
        <v>#REF!</v>
      </c>
      <c r="L345" s="69" t="e">
        <f>#REF!+L346</f>
        <v>#REF!</v>
      </c>
      <c r="M345" s="69" t="e">
        <f>#REF!+M346</f>
        <v>#REF!</v>
      </c>
      <c r="N345" s="122"/>
      <c r="O345" s="122"/>
      <c r="P345" s="122"/>
      <c r="Q345" s="122"/>
      <c r="R345" s="122"/>
      <c r="S345" s="122"/>
      <c r="T345" s="122"/>
      <c r="U345" s="122"/>
      <c r="V345" s="122"/>
      <c r="W345" s="69">
        <f>W346+W347</f>
        <v>443255.63500000001</v>
      </c>
      <c r="X345" s="69">
        <f t="shared" ref="X345:AP345" si="640">X346+X347</f>
        <v>0</v>
      </c>
      <c r="Y345" s="69">
        <f t="shared" si="640"/>
        <v>432157</v>
      </c>
      <c r="Z345" s="69">
        <f t="shared" si="640"/>
        <v>120000</v>
      </c>
      <c r="AA345" s="69">
        <f t="shared" si="640"/>
        <v>312000</v>
      </c>
      <c r="AB345" s="236">
        <f t="shared" si="640"/>
        <v>0</v>
      </c>
      <c r="AC345" s="236">
        <f t="shared" si="640"/>
        <v>312000</v>
      </c>
      <c r="AD345" s="236">
        <f t="shared" si="640"/>
        <v>0</v>
      </c>
      <c r="AE345" s="236">
        <f t="shared" si="640"/>
        <v>0</v>
      </c>
      <c r="AF345" s="236">
        <f t="shared" si="640"/>
        <v>113107</v>
      </c>
      <c r="AG345" s="236">
        <f t="shared" si="640"/>
        <v>145000</v>
      </c>
      <c r="AH345" s="236">
        <f t="shared" si="640"/>
        <v>40449.32</v>
      </c>
      <c r="AI345" s="236">
        <f t="shared" si="640"/>
        <v>92667</v>
      </c>
      <c r="AJ345" s="69">
        <f t="shared" si="640"/>
        <v>205774</v>
      </c>
      <c r="AK345" s="236">
        <f t="shared" si="640"/>
        <v>54920</v>
      </c>
      <c r="AL345" s="69">
        <f t="shared" si="640"/>
        <v>54800</v>
      </c>
      <c r="AM345" s="69">
        <f t="shared" si="640"/>
        <v>0</v>
      </c>
      <c r="AN345" s="69">
        <f t="shared" si="640"/>
        <v>54800</v>
      </c>
      <c r="AO345" s="69">
        <f t="shared" si="640"/>
        <v>0</v>
      </c>
      <c r="AP345" s="69">
        <f t="shared" si="640"/>
        <v>0</v>
      </c>
      <c r="AQ345" s="130"/>
      <c r="AR345" s="131">
        <f>AA345-(AF345+AI345+AL345)</f>
        <v>51426</v>
      </c>
      <c r="AS345" s="132" t="e">
        <f>#REF!-AL345</f>
        <v>#REF!</v>
      </c>
    </row>
    <row r="346" spans="1:45" s="73" customFormat="1" ht="78" customHeight="1">
      <c r="A346" s="73" t="s">
        <v>749</v>
      </c>
      <c r="B346" s="237">
        <v>1</v>
      </c>
      <c r="C346" s="345" t="s">
        <v>699</v>
      </c>
      <c r="D346" s="159">
        <v>1</v>
      </c>
      <c r="E346" s="119"/>
      <c r="F346" s="119"/>
      <c r="G346" s="119">
        <v>1</v>
      </c>
      <c r="H346" s="47">
        <f>G346*AL346</f>
        <v>19600</v>
      </c>
      <c r="I346" s="47"/>
      <c r="J346" s="47"/>
      <c r="K346" s="47"/>
      <c r="L346" s="47">
        <v>1</v>
      </c>
      <c r="M346" s="39"/>
      <c r="N346" s="41" t="s">
        <v>694</v>
      </c>
      <c r="O346" s="39" t="s">
        <v>109</v>
      </c>
      <c r="P346" s="41" t="s">
        <v>695</v>
      </c>
      <c r="Q346" s="41">
        <v>7786699</v>
      </c>
      <c r="R346" s="39"/>
      <c r="S346" s="41" t="s">
        <v>696</v>
      </c>
      <c r="T346" s="105" t="s">
        <v>697</v>
      </c>
      <c r="U346" s="105" t="s">
        <v>698</v>
      </c>
      <c r="V346" s="105" t="s">
        <v>700</v>
      </c>
      <c r="W346" s="289">
        <v>115098.63499999999</v>
      </c>
      <c r="X346" s="213"/>
      <c r="Y346" s="289">
        <v>104000</v>
      </c>
      <c r="Z346" s="120"/>
      <c r="AA346" s="47">
        <f>AB346+AC346+AD346+AE346</f>
        <v>104000</v>
      </c>
      <c r="AB346" s="120"/>
      <c r="AC346" s="120">
        <v>104000</v>
      </c>
      <c r="AD346" s="120"/>
      <c r="AE346" s="120"/>
      <c r="AF346" s="120">
        <v>36781</v>
      </c>
      <c r="AG346" s="120">
        <v>56000</v>
      </c>
      <c r="AH346" s="120">
        <v>15449.32</v>
      </c>
      <c r="AI346" s="120">
        <f>1500+34880</f>
        <v>36380</v>
      </c>
      <c r="AJ346" s="47">
        <f>AF346+AI346</f>
        <v>73161</v>
      </c>
      <c r="AK346" s="120">
        <v>19671</v>
      </c>
      <c r="AL346" s="47">
        <f t="shared" ref="AL346:AL347" si="641">AM346+AN346+AO346</f>
        <v>19600</v>
      </c>
      <c r="AM346" s="47"/>
      <c r="AN346" s="47">
        <v>19600</v>
      </c>
      <c r="AO346" s="47"/>
      <c r="AP346" s="47"/>
      <c r="AQ346" s="145"/>
    </row>
    <row r="347" spans="1:45" s="73" customFormat="1" ht="120">
      <c r="A347" s="73" t="s">
        <v>749</v>
      </c>
      <c r="B347" s="237">
        <v>2</v>
      </c>
      <c r="C347" s="345" t="s">
        <v>610</v>
      </c>
      <c r="D347" s="93">
        <v>1</v>
      </c>
      <c r="E347" s="47"/>
      <c r="F347" s="47"/>
      <c r="G347" s="47">
        <v>1</v>
      </c>
      <c r="H347" s="47">
        <f>G347*AL347</f>
        <v>35200</v>
      </c>
      <c r="I347" s="47"/>
      <c r="J347" s="47"/>
      <c r="K347" s="47"/>
      <c r="L347" s="47">
        <v>1</v>
      </c>
      <c r="M347" s="88"/>
      <c r="N347" s="93" t="s">
        <v>156</v>
      </c>
      <c r="O347" s="93" t="s">
        <v>109</v>
      </c>
      <c r="P347" s="145" t="s">
        <v>157</v>
      </c>
      <c r="Q347" s="103">
        <v>7771511</v>
      </c>
      <c r="R347" s="39"/>
      <c r="S347" s="39" t="s">
        <v>158</v>
      </c>
      <c r="T347" s="39" t="s">
        <v>159</v>
      </c>
      <c r="U347" s="39" t="s">
        <v>160</v>
      </c>
      <c r="V347" s="39" t="s">
        <v>1040</v>
      </c>
      <c r="W347" s="47">
        <f>X347+Y347</f>
        <v>328157</v>
      </c>
      <c r="X347" s="120"/>
      <c r="Y347" s="47">
        <v>328157</v>
      </c>
      <c r="Z347" s="120">
        <v>120000</v>
      </c>
      <c r="AA347" s="47">
        <f>AB347+AC347+AD347+AE347</f>
        <v>208000</v>
      </c>
      <c r="AB347" s="120"/>
      <c r="AC347" s="120">
        <f>175000+33000</f>
        <v>208000</v>
      </c>
      <c r="AD347" s="120"/>
      <c r="AE347" s="120"/>
      <c r="AF347" s="120">
        <v>76326</v>
      </c>
      <c r="AG347" s="120">
        <v>89000</v>
      </c>
      <c r="AH347" s="120">
        <v>25000</v>
      </c>
      <c r="AI347" s="120">
        <v>56287</v>
      </c>
      <c r="AJ347" s="47">
        <f>AF347+AI347</f>
        <v>132613</v>
      </c>
      <c r="AK347" s="120">
        <v>35249</v>
      </c>
      <c r="AL347" s="47">
        <f t="shared" si="641"/>
        <v>35200</v>
      </c>
      <c r="AM347" s="47"/>
      <c r="AN347" s="47">
        <v>35200</v>
      </c>
      <c r="AO347" s="47"/>
      <c r="AP347" s="47"/>
      <c r="AQ347" s="145"/>
      <c r="AR347" s="48">
        <f>AA347-(AF347+AI347+AL347)</f>
        <v>40187</v>
      </c>
      <c r="AS347" s="49" t="e">
        <f>#REF!-AL347</f>
        <v>#REF!</v>
      </c>
    </row>
    <row r="348" spans="1:45" s="290" customFormat="1">
      <c r="B348" s="129" t="s">
        <v>135</v>
      </c>
      <c r="C348" s="348" t="s">
        <v>119</v>
      </c>
      <c r="D348" s="452">
        <f t="shared" ref="D348:J348" si="642">D349+D350+D351+D352</f>
        <v>4</v>
      </c>
      <c r="E348" s="211">
        <f t="shared" si="642"/>
        <v>0</v>
      </c>
      <c r="F348" s="211">
        <f t="shared" si="642"/>
        <v>0</v>
      </c>
      <c r="G348" s="211">
        <f t="shared" si="642"/>
        <v>4</v>
      </c>
      <c r="H348" s="211">
        <f t="shared" si="642"/>
        <v>19930</v>
      </c>
      <c r="I348" s="211">
        <f t="shared" si="642"/>
        <v>0</v>
      </c>
      <c r="J348" s="211">
        <f t="shared" si="642"/>
        <v>0</v>
      </c>
      <c r="K348" s="211">
        <f t="shared" ref="K348" si="643">K349+K350+K351+K352</f>
        <v>0</v>
      </c>
      <c r="L348" s="211">
        <f t="shared" ref="L348" si="644">L349+L350+L351+L352</f>
        <v>4</v>
      </c>
      <c r="M348" s="211">
        <f t="shared" ref="M348" si="645">M349+M350+M351+M352</f>
        <v>0</v>
      </c>
      <c r="N348" s="123"/>
      <c r="O348" s="123"/>
      <c r="P348" s="291"/>
      <c r="Q348" s="292"/>
      <c r="R348" s="122"/>
      <c r="S348" s="122"/>
      <c r="T348" s="122"/>
      <c r="U348" s="122"/>
      <c r="V348" s="122"/>
      <c r="W348" s="211">
        <f t="shared" ref="W348:AM348" si="646">W349+W350+W351+W352</f>
        <v>193587.35200000001</v>
      </c>
      <c r="X348" s="220">
        <f t="shared" si="646"/>
        <v>0</v>
      </c>
      <c r="Y348" s="211">
        <f t="shared" si="646"/>
        <v>147600</v>
      </c>
      <c r="Z348" s="220">
        <f t="shared" si="646"/>
        <v>0</v>
      </c>
      <c r="AA348" s="211">
        <f t="shared" si="646"/>
        <v>123320</v>
      </c>
      <c r="AB348" s="220">
        <f t="shared" si="646"/>
        <v>21000</v>
      </c>
      <c r="AC348" s="220">
        <f t="shared" si="646"/>
        <v>91320</v>
      </c>
      <c r="AD348" s="220">
        <f t="shared" si="646"/>
        <v>0</v>
      </c>
      <c r="AE348" s="220">
        <f t="shared" si="646"/>
        <v>0</v>
      </c>
      <c r="AF348" s="220">
        <f t="shared" si="646"/>
        <v>51458.387999999999</v>
      </c>
      <c r="AG348" s="220">
        <f t="shared" si="646"/>
        <v>61160</v>
      </c>
      <c r="AH348" s="220">
        <f t="shared" si="646"/>
        <v>24515</v>
      </c>
      <c r="AI348" s="220">
        <f t="shared" si="646"/>
        <v>44584</v>
      </c>
      <c r="AJ348" s="211">
        <f t="shared" si="646"/>
        <v>96042.388000000006</v>
      </c>
      <c r="AK348" s="220">
        <f t="shared" si="646"/>
        <v>20023</v>
      </c>
      <c r="AL348" s="211">
        <f t="shared" si="646"/>
        <v>19930</v>
      </c>
      <c r="AM348" s="211">
        <f t="shared" si="646"/>
        <v>0</v>
      </c>
      <c r="AN348" s="211">
        <f>AN349+AN350+AN351+AN352</f>
        <v>19930</v>
      </c>
      <c r="AO348" s="211">
        <f t="shared" ref="AO348:AP348" si="647">AO349+AO350+AO351+AO352</f>
        <v>0</v>
      </c>
      <c r="AP348" s="211">
        <f t="shared" si="647"/>
        <v>0</v>
      </c>
      <c r="AQ348" s="130"/>
      <c r="AR348" s="131"/>
      <c r="AS348" s="132"/>
    </row>
    <row r="349" spans="1:45" s="73" customFormat="1" ht="93" customHeight="1">
      <c r="A349" s="73" t="s">
        <v>104</v>
      </c>
      <c r="B349" s="237">
        <v>1</v>
      </c>
      <c r="C349" s="345" t="s">
        <v>631</v>
      </c>
      <c r="D349" s="93">
        <v>1</v>
      </c>
      <c r="E349" s="47"/>
      <c r="F349" s="47"/>
      <c r="G349" s="47">
        <v>1</v>
      </c>
      <c r="H349" s="47">
        <f>G349*AL349</f>
        <v>3220</v>
      </c>
      <c r="I349" s="47"/>
      <c r="J349" s="47"/>
      <c r="K349" s="47"/>
      <c r="L349" s="47">
        <v>1</v>
      </c>
      <c r="M349" s="88"/>
      <c r="N349" s="93" t="s">
        <v>136</v>
      </c>
      <c r="O349" s="93" t="s">
        <v>109</v>
      </c>
      <c r="P349" s="145" t="s">
        <v>632</v>
      </c>
      <c r="Q349" s="103">
        <v>7945002</v>
      </c>
      <c r="R349" s="39"/>
      <c r="S349" s="39" t="s">
        <v>633</v>
      </c>
      <c r="T349" s="39" t="s">
        <v>116</v>
      </c>
      <c r="U349" s="39"/>
      <c r="V349" s="39" t="s">
        <v>634</v>
      </c>
      <c r="W349" s="44">
        <v>12632</v>
      </c>
      <c r="X349" s="213"/>
      <c r="Y349" s="47">
        <v>11000</v>
      </c>
      <c r="Z349" s="120"/>
      <c r="AA349" s="47">
        <v>11000</v>
      </c>
      <c r="AB349" s="120"/>
      <c r="AC349" s="120"/>
      <c r="AD349" s="120"/>
      <c r="AE349" s="120"/>
      <c r="AF349" s="120"/>
      <c r="AG349" s="120"/>
      <c r="AH349" s="120"/>
      <c r="AI349" s="120">
        <v>7780</v>
      </c>
      <c r="AJ349" s="47">
        <f>AF349+AI349</f>
        <v>7780</v>
      </c>
      <c r="AK349" s="120">
        <v>3220</v>
      </c>
      <c r="AL349" s="47">
        <f>AM349+AN349+AO349+AP349</f>
        <v>3220</v>
      </c>
      <c r="AM349" s="47"/>
      <c r="AN349" s="47">
        <v>3220</v>
      </c>
      <c r="AO349" s="47"/>
      <c r="AP349" s="47"/>
      <c r="AQ349" s="47"/>
      <c r="AR349" s="48"/>
      <c r="AS349" s="49"/>
    </row>
    <row r="350" spans="1:45" s="73" customFormat="1" ht="100.5" customHeight="1">
      <c r="A350" s="73" t="s">
        <v>749</v>
      </c>
      <c r="B350" s="237">
        <v>2</v>
      </c>
      <c r="C350" s="312" t="s">
        <v>786</v>
      </c>
      <c r="D350" s="105">
        <v>1</v>
      </c>
      <c r="E350" s="61"/>
      <c r="F350" s="61"/>
      <c r="G350" s="61">
        <v>1</v>
      </c>
      <c r="H350" s="47">
        <f>G350*AL350</f>
        <v>4810</v>
      </c>
      <c r="I350" s="47"/>
      <c r="J350" s="47"/>
      <c r="K350" s="47"/>
      <c r="L350" s="47">
        <v>1</v>
      </c>
      <c r="M350" s="39"/>
      <c r="N350" s="39" t="s">
        <v>213</v>
      </c>
      <c r="O350" s="39" t="s">
        <v>252</v>
      </c>
      <c r="P350" s="41" t="s">
        <v>685</v>
      </c>
      <c r="Q350" s="41">
        <v>7800214</v>
      </c>
      <c r="R350" s="39"/>
      <c r="S350" s="93" t="s">
        <v>686</v>
      </c>
      <c r="T350" s="39" t="s">
        <v>114</v>
      </c>
      <c r="U350" s="41"/>
      <c r="V350" s="293" t="s">
        <v>687</v>
      </c>
      <c r="W350" s="47">
        <v>71916</v>
      </c>
      <c r="X350" s="213"/>
      <c r="Y350" s="289">
        <v>31000</v>
      </c>
      <c r="Z350" s="120"/>
      <c r="AA350" s="47">
        <f>AB350+AC350+AD350+AE350</f>
        <v>31720</v>
      </c>
      <c r="AB350" s="120">
        <v>21000</v>
      </c>
      <c r="AC350" s="120">
        <f>4810+5910</f>
        <v>10720</v>
      </c>
      <c r="AD350" s="120"/>
      <c r="AE350" s="120"/>
      <c r="AF350" s="120">
        <v>19245.955999999998</v>
      </c>
      <c r="AG350" s="120">
        <v>22300</v>
      </c>
      <c r="AH350" s="120">
        <v>3738</v>
      </c>
      <c r="AI350" s="120">
        <f>5190+1754</f>
        <v>6944</v>
      </c>
      <c r="AJ350" s="47">
        <f>AF350+AI350</f>
        <v>26189.955999999998</v>
      </c>
      <c r="AK350" s="120">
        <v>4810</v>
      </c>
      <c r="AL350" s="47">
        <f t="shared" ref="AL350:AL352" si="648">AM350+AN350+AO350</f>
        <v>4810</v>
      </c>
      <c r="AM350" s="47"/>
      <c r="AN350" s="47">
        <v>4810</v>
      </c>
      <c r="AO350" s="47"/>
      <c r="AP350" s="47"/>
      <c r="AQ350" s="145"/>
    </row>
    <row r="351" spans="1:45" s="487" customFormat="1" ht="127.5" customHeight="1">
      <c r="A351" s="487" t="s">
        <v>749</v>
      </c>
      <c r="B351" s="488">
        <v>3</v>
      </c>
      <c r="C351" s="489" t="s">
        <v>703</v>
      </c>
      <c r="D351" s="490">
        <v>1</v>
      </c>
      <c r="E351" s="491"/>
      <c r="F351" s="491"/>
      <c r="G351" s="491">
        <v>1</v>
      </c>
      <c r="H351" s="492">
        <f>G351*AL351</f>
        <v>7900</v>
      </c>
      <c r="I351" s="492"/>
      <c r="J351" s="492"/>
      <c r="K351" s="492"/>
      <c r="L351" s="492">
        <v>1</v>
      </c>
      <c r="M351" s="337"/>
      <c r="N351" s="338" t="s">
        <v>694</v>
      </c>
      <c r="O351" s="337" t="s">
        <v>109</v>
      </c>
      <c r="P351" s="338" t="s">
        <v>701</v>
      </c>
      <c r="Q351" s="338">
        <v>7780979</v>
      </c>
      <c r="R351" s="337"/>
      <c r="S351" s="338" t="s">
        <v>702</v>
      </c>
      <c r="T351" s="338" t="s">
        <v>159</v>
      </c>
      <c r="U351" s="338" t="s">
        <v>185</v>
      </c>
      <c r="V351" s="338" t="s">
        <v>1062</v>
      </c>
      <c r="W351" s="493">
        <v>78896</v>
      </c>
      <c r="X351" s="495"/>
      <c r="Y351" s="493">
        <v>78500</v>
      </c>
      <c r="Z351" s="492"/>
      <c r="AA351" s="492">
        <f>AB351+AC351+AD351+AE351</f>
        <v>53500</v>
      </c>
      <c r="AB351" s="492"/>
      <c r="AC351" s="492">
        <v>53500</v>
      </c>
      <c r="AD351" s="492"/>
      <c r="AE351" s="492"/>
      <c r="AF351" s="492">
        <v>17972.432000000001</v>
      </c>
      <c r="AG351" s="492">
        <v>26000</v>
      </c>
      <c r="AH351" s="492">
        <v>17660</v>
      </c>
      <c r="AI351" s="492">
        <v>21000</v>
      </c>
      <c r="AJ351" s="492">
        <f>AF351+AI351</f>
        <v>38972.432000000001</v>
      </c>
      <c r="AK351" s="492">
        <v>7993</v>
      </c>
      <c r="AL351" s="492">
        <f t="shared" si="648"/>
        <v>7900</v>
      </c>
      <c r="AM351" s="492"/>
      <c r="AN351" s="492">
        <v>7900</v>
      </c>
      <c r="AO351" s="492"/>
      <c r="AP351" s="492"/>
      <c r="AQ351" s="494"/>
    </row>
    <row r="352" spans="1:45" s="73" customFormat="1" ht="100.5" customHeight="1">
      <c r="A352" s="73" t="s">
        <v>749</v>
      </c>
      <c r="B352" s="237">
        <v>4</v>
      </c>
      <c r="C352" s="345" t="s">
        <v>708</v>
      </c>
      <c r="D352" s="105">
        <v>1</v>
      </c>
      <c r="E352" s="61"/>
      <c r="F352" s="61"/>
      <c r="G352" s="61">
        <v>1</v>
      </c>
      <c r="H352" s="47">
        <f>G352*AL352</f>
        <v>4000</v>
      </c>
      <c r="I352" s="47"/>
      <c r="J352" s="47"/>
      <c r="K352" s="47"/>
      <c r="L352" s="47">
        <v>1</v>
      </c>
      <c r="M352" s="39"/>
      <c r="N352" s="41" t="s">
        <v>704</v>
      </c>
      <c r="O352" s="39" t="s">
        <v>109</v>
      </c>
      <c r="P352" s="41" t="s">
        <v>705</v>
      </c>
      <c r="Q352" s="41">
        <v>7846085</v>
      </c>
      <c r="R352" s="39"/>
      <c r="S352" s="41" t="s">
        <v>706</v>
      </c>
      <c r="T352" s="105" t="s">
        <v>478</v>
      </c>
      <c r="U352" s="41" t="s">
        <v>707</v>
      </c>
      <c r="V352" s="41" t="s">
        <v>707</v>
      </c>
      <c r="W352" s="289">
        <v>30143.351999999999</v>
      </c>
      <c r="X352" s="213"/>
      <c r="Y352" s="289">
        <v>27100</v>
      </c>
      <c r="Z352" s="120"/>
      <c r="AA352" s="47">
        <f>AB352+AC352+AD352+AE352</f>
        <v>27100</v>
      </c>
      <c r="AB352" s="120"/>
      <c r="AC352" s="120">
        <v>27100</v>
      </c>
      <c r="AD352" s="120"/>
      <c r="AE352" s="120"/>
      <c r="AF352" s="120">
        <v>14240</v>
      </c>
      <c r="AG352" s="120">
        <v>12860</v>
      </c>
      <c r="AH352" s="120">
        <v>3117</v>
      </c>
      <c r="AI352" s="120">
        <v>8860</v>
      </c>
      <c r="AJ352" s="47">
        <f>AF352+AI352</f>
        <v>23100</v>
      </c>
      <c r="AK352" s="120">
        <v>4000</v>
      </c>
      <c r="AL352" s="47">
        <f t="shared" si="648"/>
        <v>4000</v>
      </c>
      <c r="AM352" s="47"/>
      <c r="AN352" s="47">
        <v>4000</v>
      </c>
      <c r="AO352" s="47"/>
      <c r="AP352" s="47"/>
      <c r="AQ352" s="145"/>
    </row>
    <row r="353" spans="1:45" s="50" customFormat="1" ht="42" customHeight="1">
      <c r="B353" s="36" t="s">
        <v>51</v>
      </c>
      <c r="C353" s="340" t="s">
        <v>174</v>
      </c>
      <c r="D353" s="247">
        <f t="shared" ref="D353:J353" si="649">D354+D360</f>
        <v>6</v>
      </c>
      <c r="E353" s="43">
        <f t="shared" si="649"/>
        <v>0</v>
      </c>
      <c r="F353" s="43">
        <f t="shared" si="649"/>
        <v>0</v>
      </c>
      <c r="G353" s="43">
        <f t="shared" si="649"/>
        <v>0</v>
      </c>
      <c r="H353" s="43">
        <f t="shared" si="649"/>
        <v>0</v>
      </c>
      <c r="I353" s="43">
        <f t="shared" si="649"/>
        <v>6</v>
      </c>
      <c r="J353" s="43">
        <f t="shared" si="649"/>
        <v>849000</v>
      </c>
      <c r="K353" s="43" t="e">
        <f>K354+K360</f>
        <v>#REF!</v>
      </c>
      <c r="L353" s="43" t="e">
        <f>L354+L360</f>
        <v>#REF!</v>
      </c>
      <c r="M353" s="246" t="e">
        <f>M354+M360</f>
        <v>#REF!</v>
      </c>
      <c r="N353" s="39"/>
      <c r="O353" s="39"/>
      <c r="P353" s="39"/>
      <c r="Q353" s="39"/>
      <c r="R353" s="39"/>
      <c r="S353" s="39"/>
      <c r="T353" s="39"/>
      <c r="U353" s="39"/>
      <c r="V353" s="39"/>
      <c r="W353" s="43">
        <f t="shared" ref="W353:AO353" si="650">W354+W360</f>
        <v>4032224.05</v>
      </c>
      <c r="X353" s="235">
        <f t="shared" si="650"/>
        <v>2724200</v>
      </c>
      <c r="Y353" s="43">
        <f t="shared" si="650"/>
        <v>3656510</v>
      </c>
      <c r="Z353" s="235">
        <f t="shared" si="650"/>
        <v>0</v>
      </c>
      <c r="AA353" s="43">
        <f t="shared" si="650"/>
        <v>3656510</v>
      </c>
      <c r="AB353" s="235">
        <f t="shared" si="650"/>
        <v>240360</v>
      </c>
      <c r="AC353" s="235">
        <f t="shared" si="650"/>
        <v>691950</v>
      </c>
      <c r="AD353" s="235">
        <f t="shared" si="650"/>
        <v>2724200</v>
      </c>
      <c r="AE353" s="235">
        <f t="shared" si="650"/>
        <v>0</v>
      </c>
      <c r="AF353" s="235">
        <f t="shared" si="650"/>
        <v>158284</v>
      </c>
      <c r="AG353" s="235">
        <f t="shared" si="650"/>
        <v>712419</v>
      </c>
      <c r="AH353" s="235">
        <f t="shared" si="650"/>
        <v>207415</v>
      </c>
      <c r="AI353" s="235">
        <f t="shared" si="650"/>
        <v>990207</v>
      </c>
      <c r="AJ353" s="43">
        <f t="shared" si="650"/>
        <v>1148491</v>
      </c>
      <c r="AK353" s="235">
        <f t="shared" si="650"/>
        <v>914626</v>
      </c>
      <c r="AL353" s="43">
        <f t="shared" si="650"/>
        <v>849000</v>
      </c>
      <c r="AM353" s="43">
        <f t="shared" si="650"/>
        <v>0</v>
      </c>
      <c r="AN353" s="43">
        <f t="shared" si="650"/>
        <v>142000</v>
      </c>
      <c r="AO353" s="43">
        <f t="shared" si="650"/>
        <v>707000</v>
      </c>
      <c r="AP353" s="43"/>
      <c r="AQ353" s="47"/>
      <c r="AR353" s="48">
        <f>AA353-(AF353+AI353+AL353)</f>
        <v>1659019</v>
      </c>
      <c r="AS353" s="49" t="e">
        <f>#REF!-AL353</f>
        <v>#REF!</v>
      </c>
    </row>
    <row r="354" spans="1:45" s="133" customFormat="1" ht="18" customHeight="1">
      <c r="B354" s="129" t="s">
        <v>121</v>
      </c>
      <c r="C354" s="348" t="s">
        <v>107</v>
      </c>
      <c r="D354" s="439">
        <f t="shared" ref="D354" si="651">D355+D356+D357+D358+D359</f>
        <v>5</v>
      </c>
      <c r="E354" s="69">
        <f t="shared" ref="E354" si="652">E355+E356+E357+E358+E359</f>
        <v>0</v>
      </c>
      <c r="F354" s="69">
        <f t="shared" ref="F354" si="653">F355+F356+F357+F358+F359</f>
        <v>0</v>
      </c>
      <c r="G354" s="69">
        <f t="shared" ref="G354" si="654">G355+G356+G357+G358+G359</f>
        <v>0</v>
      </c>
      <c r="H354" s="69">
        <f t="shared" ref="H354" si="655">H355+H356+H357+H358+H359</f>
        <v>0</v>
      </c>
      <c r="I354" s="69">
        <f t="shared" ref="I354" si="656">I355+I356+I357+I358+I359</f>
        <v>5</v>
      </c>
      <c r="J354" s="69">
        <f t="shared" ref="J354" si="657">J355+J356+J357+J358+J359</f>
        <v>472000</v>
      </c>
      <c r="K354" s="69" t="e">
        <f>K356+K357+K358+K359+#REF!</f>
        <v>#REF!</v>
      </c>
      <c r="L354" s="69" t="e">
        <f>L356+L357+L358+L359+#REF!</f>
        <v>#REF!</v>
      </c>
      <c r="M354" s="273" t="e">
        <f>M356+M357+M358+M359+#REF!</f>
        <v>#REF!</v>
      </c>
      <c r="N354" s="122"/>
      <c r="O354" s="122"/>
      <c r="P354" s="122"/>
      <c r="Q354" s="122"/>
      <c r="R354" s="122"/>
      <c r="S354" s="122"/>
      <c r="T354" s="122"/>
      <c r="U354" s="122"/>
      <c r="V354" s="122"/>
      <c r="W354" s="69">
        <f>W355+W356+W357+W358+W359</f>
        <v>1852434.05</v>
      </c>
      <c r="X354" s="69">
        <f t="shared" ref="X354:AP354" si="658">X355+X356+X357+X358+X359</f>
        <v>1524200</v>
      </c>
      <c r="Y354" s="69">
        <f t="shared" si="658"/>
        <v>1685570</v>
      </c>
      <c r="Z354" s="69">
        <f t="shared" si="658"/>
        <v>0</v>
      </c>
      <c r="AA354" s="69">
        <f t="shared" si="658"/>
        <v>1685570</v>
      </c>
      <c r="AB354" s="236">
        <f t="shared" si="658"/>
        <v>40360</v>
      </c>
      <c r="AC354" s="236">
        <f t="shared" si="658"/>
        <v>121010</v>
      </c>
      <c r="AD354" s="236">
        <f t="shared" si="658"/>
        <v>1524200</v>
      </c>
      <c r="AE354" s="236">
        <f t="shared" si="658"/>
        <v>0</v>
      </c>
      <c r="AF354" s="236">
        <f t="shared" si="658"/>
        <v>149793</v>
      </c>
      <c r="AG354" s="236">
        <f t="shared" si="658"/>
        <v>462419</v>
      </c>
      <c r="AH354" s="236">
        <f t="shared" si="658"/>
        <v>102415</v>
      </c>
      <c r="AI354" s="236">
        <f t="shared" si="658"/>
        <v>455336</v>
      </c>
      <c r="AJ354" s="69">
        <f t="shared" si="658"/>
        <v>605129</v>
      </c>
      <c r="AK354" s="236">
        <f t="shared" si="658"/>
        <v>487626</v>
      </c>
      <c r="AL354" s="69">
        <f t="shared" si="658"/>
        <v>472000</v>
      </c>
      <c r="AM354" s="69">
        <f t="shared" si="658"/>
        <v>0</v>
      </c>
      <c r="AN354" s="69">
        <f t="shared" si="658"/>
        <v>15000</v>
      </c>
      <c r="AO354" s="69">
        <f t="shared" si="658"/>
        <v>457000</v>
      </c>
      <c r="AP354" s="69">
        <f t="shared" si="658"/>
        <v>0</v>
      </c>
      <c r="AQ354" s="130"/>
      <c r="AR354" s="131">
        <f>AA354-(AF354+AI354+AL354)</f>
        <v>608441</v>
      </c>
      <c r="AS354" s="132" t="e">
        <f>#REF!-AL354</f>
        <v>#REF!</v>
      </c>
    </row>
    <row r="355" spans="1:45" s="73" customFormat="1" ht="84" customHeight="1">
      <c r="A355" s="73" t="s">
        <v>104</v>
      </c>
      <c r="B355" s="237">
        <v>1</v>
      </c>
      <c r="C355" s="345" t="s">
        <v>620</v>
      </c>
      <c r="D355" s="93">
        <v>1</v>
      </c>
      <c r="E355" s="47"/>
      <c r="F355" s="47"/>
      <c r="G355" s="47"/>
      <c r="H355" s="47"/>
      <c r="I355" s="47">
        <v>1</v>
      </c>
      <c r="J355" s="47">
        <f>I355*AL355</f>
        <v>53000</v>
      </c>
      <c r="K355" s="47"/>
      <c r="L355" s="47">
        <v>1</v>
      </c>
      <c r="M355" s="88"/>
      <c r="N355" s="93" t="s">
        <v>145</v>
      </c>
      <c r="O355" s="93" t="s">
        <v>109</v>
      </c>
      <c r="P355" s="145" t="s">
        <v>693</v>
      </c>
      <c r="Q355" s="103">
        <v>7870925</v>
      </c>
      <c r="R355" s="39"/>
      <c r="S355" s="39" t="s">
        <v>146</v>
      </c>
      <c r="T355" s="39" t="s">
        <v>133</v>
      </c>
      <c r="U355" s="39" t="s">
        <v>147</v>
      </c>
      <c r="V355" s="39" t="s">
        <v>621</v>
      </c>
      <c r="W355" s="44">
        <v>238054.557</v>
      </c>
      <c r="X355" s="213">
        <v>200000</v>
      </c>
      <c r="Y355" s="47">
        <v>223650</v>
      </c>
      <c r="Z355" s="120"/>
      <c r="AA355" s="47">
        <f>AB355+AC355+AD355+AE355</f>
        <v>223650</v>
      </c>
      <c r="AB355" s="120">
        <f>20000+3650</f>
        <v>23650</v>
      </c>
      <c r="AC355" s="120"/>
      <c r="AD355" s="120">
        <v>200000</v>
      </c>
      <c r="AE355" s="120"/>
      <c r="AF355" s="120">
        <f>3650+72427</f>
        <v>76077</v>
      </c>
      <c r="AG355" s="120">
        <f>50000+27573+10000</f>
        <v>87573</v>
      </c>
      <c r="AH355" s="120">
        <f>1300+19920</f>
        <v>21220</v>
      </c>
      <c r="AI355" s="120">
        <f>10000+27573+47000</f>
        <v>84573</v>
      </c>
      <c r="AJ355" s="47">
        <f>AF355+AI355</f>
        <v>160650</v>
      </c>
      <c r="AK355" s="120">
        <v>68000</v>
      </c>
      <c r="AL355" s="47">
        <f>AM355+AN355+AO355+AP355</f>
        <v>53000</v>
      </c>
      <c r="AM355" s="47"/>
      <c r="AN355" s="47"/>
      <c r="AO355" s="47">
        <v>53000</v>
      </c>
      <c r="AP355" s="47"/>
      <c r="AQ355" s="47"/>
      <c r="AR355" s="48">
        <f>AA355-(AF355+AI355+AL355)</f>
        <v>10000</v>
      </c>
      <c r="AS355" s="49" t="e">
        <f>#REF!-AL355</f>
        <v>#REF!</v>
      </c>
    </row>
    <row r="356" spans="1:45" s="73" customFormat="1" ht="57" customHeight="1">
      <c r="A356" s="73" t="s">
        <v>104</v>
      </c>
      <c r="B356" s="237">
        <v>2</v>
      </c>
      <c r="C356" s="345" t="s">
        <v>622</v>
      </c>
      <c r="D356" s="93">
        <v>1</v>
      </c>
      <c r="E356" s="47"/>
      <c r="F356" s="47"/>
      <c r="G356" s="47"/>
      <c r="H356" s="47"/>
      <c r="I356" s="47">
        <v>1</v>
      </c>
      <c r="J356" s="47">
        <f>I356*AL356</f>
        <v>67000</v>
      </c>
      <c r="K356" s="47"/>
      <c r="L356" s="47">
        <v>1</v>
      </c>
      <c r="M356" s="88"/>
      <c r="N356" s="39" t="s">
        <v>161</v>
      </c>
      <c r="O356" s="39" t="s">
        <v>109</v>
      </c>
      <c r="P356" s="145" t="s">
        <v>149</v>
      </c>
      <c r="Q356" s="39">
        <v>7910047</v>
      </c>
      <c r="R356" s="39"/>
      <c r="S356" s="39" t="s">
        <v>619</v>
      </c>
      <c r="T356" s="39" t="s">
        <v>133</v>
      </c>
      <c r="U356" s="39" t="s">
        <v>162</v>
      </c>
      <c r="V356" s="39" t="s">
        <v>618</v>
      </c>
      <c r="W356" s="146">
        <v>165402.51300000001</v>
      </c>
      <c r="X356" s="213">
        <v>150000</v>
      </c>
      <c r="Y356" s="47">
        <v>150000</v>
      </c>
      <c r="Z356" s="120"/>
      <c r="AA356" s="47">
        <f>AB356+AC356+AD356+AE356</f>
        <v>150000</v>
      </c>
      <c r="AB356" s="120"/>
      <c r="AC356" s="120"/>
      <c r="AD356" s="120">
        <v>150000</v>
      </c>
      <c r="AE356" s="120"/>
      <c r="AF356" s="120"/>
      <c r="AG356" s="120">
        <v>20000</v>
      </c>
      <c r="AH356" s="120">
        <v>1923</v>
      </c>
      <c r="AI356" s="120">
        <f>AG356-15000</f>
        <v>5000</v>
      </c>
      <c r="AJ356" s="47">
        <f>AF356+AI356</f>
        <v>5000</v>
      </c>
      <c r="AK356" s="120">
        <v>67000</v>
      </c>
      <c r="AL356" s="47">
        <f>AM356+AN356+AO356+AP356</f>
        <v>67000</v>
      </c>
      <c r="AM356" s="47"/>
      <c r="AN356" s="47"/>
      <c r="AO356" s="47">
        <v>67000</v>
      </c>
      <c r="AP356" s="47"/>
      <c r="AQ356" s="47"/>
      <c r="AR356" s="48">
        <f>AA356-(AF356+AI356+AL356)</f>
        <v>78000</v>
      </c>
      <c r="AS356" s="49" t="e">
        <f>#REF!-AL356</f>
        <v>#REF!</v>
      </c>
    </row>
    <row r="357" spans="1:45" s="73" customFormat="1" ht="59.45" customHeight="1">
      <c r="A357" s="73" t="s">
        <v>749</v>
      </c>
      <c r="B357" s="237">
        <v>3</v>
      </c>
      <c r="C357" s="345" t="s">
        <v>709</v>
      </c>
      <c r="D357" s="159">
        <v>1</v>
      </c>
      <c r="E357" s="119"/>
      <c r="F357" s="119"/>
      <c r="G357" s="119"/>
      <c r="H357" s="119"/>
      <c r="I357" s="47">
        <v>1</v>
      </c>
      <c r="J357" s="47">
        <f>I357*AL357</f>
        <v>15000</v>
      </c>
      <c r="K357" s="47"/>
      <c r="L357" s="47">
        <v>1</v>
      </c>
      <c r="M357" s="39"/>
      <c r="N357" s="39" t="s">
        <v>161</v>
      </c>
      <c r="O357" s="39" t="s">
        <v>109</v>
      </c>
      <c r="P357" s="93" t="s">
        <v>149</v>
      </c>
      <c r="Q357" s="39">
        <v>7925529</v>
      </c>
      <c r="R357" s="94"/>
      <c r="S357" s="100" t="s">
        <v>546</v>
      </c>
      <c r="T357" s="41" t="s">
        <v>114</v>
      </c>
      <c r="U357" s="39"/>
      <c r="V357" s="90" t="s">
        <v>710</v>
      </c>
      <c r="W357" s="61">
        <v>115710.98</v>
      </c>
      <c r="X357" s="120"/>
      <c r="Y357" s="61">
        <v>104000</v>
      </c>
      <c r="Z357" s="120"/>
      <c r="AA357" s="47">
        <f>AB357+AC357+AD357+AE357</f>
        <v>104000</v>
      </c>
      <c r="AB357" s="120"/>
      <c r="AC357" s="241">
        <v>104000</v>
      </c>
      <c r="AD357" s="120"/>
      <c r="AE357" s="120"/>
      <c r="AF357" s="120"/>
      <c r="AG357" s="250">
        <v>2784</v>
      </c>
      <c r="AH357" s="120"/>
      <c r="AI357" s="250">
        <v>2700</v>
      </c>
      <c r="AJ357" s="47">
        <f>AF357+AI357</f>
        <v>2700</v>
      </c>
      <c r="AK357" s="120">
        <v>15000</v>
      </c>
      <c r="AL357" s="47">
        <f t="shared" ref="AL357" si="659">AM357+AN357+AO357</f>
        <v>15000</v>
      </c>
      <c r="AM357" s="47"/>
      <c r="AN357" s="47">
        <v>15000</v>
      </c>
      <c r="AO357" s="47"/>
      <c r="AP357" s="47"/>
      <c r="AQ357" s="331"/>
    </row>
    <row r="358" spans="1:45" s="73" customFormat="1" ht="78" customHeight="1">
      <c r="A358" s="73" t="s">
        <v>104</v>
      </c>
      <c r="B358" s="237">
        <v>4</v>
      </c>
      <c r="C358" s="345" t="s">
        <v>630</v>
      </c>
      <c r="D358" s="93">
        <v>1</v>
      </c>
      <c r="E358" s="47"/>
      <c r="F358" s="47"/>
      <c r="G358" s="47"/>
      <c r="H358" s="47"/>
      <c r="I358" s="47">
        <v>1</v>
      </c>
      <c r="J358" s="47">
        <f>I358*AL358</f>
        <v>197000</v>
      </c>
      <c r="K358" s="47"/>
      <c r="L358" s="47">
        <v>1</v>
      </c>
      <c r="M358" s="88"/>
      <c r="N358" s="39" t="s">
        <v>148</v>
      </c>
      <c r="O358" s="39" t="s">
        <v>109</v>
      </c>
      <c r="P358" s="145" t="s">
        <v>149</v>
      </c>
      <c r="Q358" s="39">
        <v>7882514</v>
      </c>
      <c r="R358" s="39"/>
      <c r="S358" s="39" t="s">
        <v>150</v>
      </c>
      <c r="T358" s="39" t="s">
        <v>133</v>
      </c>
      <c r="U358" s="39" t="s">
        <v>151</v>
      </c>
      <c r="V358" s="39" t="s">
        <v>152</v>
      </c>
      <c r="W358" s="47">
        <v>991810</v>
      </c>
      <c r="X358" s="120">
        <v>880000</v>
      </c>
      <c r="Y358" s="47">
        <v>896710</v>
      </c>
      <c r="Z358" s="120"/>
      <c r="AA358" s="47">
        <f>AB358+AC358+AD358+AE358</f>
        <v>896710</v>
      </c>
      <c r="AB358" s="120">
        <f>3710+13000</f>
        <v>16710</v>
      </c>
      <c r="AC358" s="120"/>
      <c r="AD358" s="120">
        <f>X358</f>
        <v>880000</v>
      </c>
      <c r="AE358" s="120"/>
      <c r="AF358" s="120">
        <f>3710+70006</f>
        <v>73716</v>
      </c>
      <c r="AG358" s="120">
        <f>130000+139062</f>
        <v>269062</v>
      </c>
      <c r="AH358" s="120">
        <v>40000</v>
      </c>
      <c r="AI358" s="120">
        <f>139063+99000</f>
        <v>238063</v>
      </c>
      <c r="AJ358" s="47">
        <f>AF358+AI358</f>
        <v>311779</v>
      </c>
      <c r="AK358" s="120">
        <v>197304</v>
      </c>
      <c r="AL358" s="47">
        <f>AM358+AN358+AO358+AP358</f>
        <v>197000</v>
      </c>
      <c r="AM358" s="47"/>
      <c r="AN358" s="47"/>
      <c r="AO358" s="47">
        <v>197000</v>
      </c>
      <c r="AP358" s="47"/>
      <c r="AQ358" s="47"/>
      <c r="AR358" s="48">
        <f>AA358-(AF358+AI358+AL358)</f>
        <v>387931</v>
      </c>
      <c r="AS358" s="49" t="e">
        <f>#REF!-AL358</f>
        <v>#REF!</v>
      </c>
    </row>
    <row r="359" spans="1:45" s="73" customFormat="1" ht="137.1" customHeight="1">
      <c r="A359" s="73" t="s">
        <v>104</v>
      </c>
      <c r="B359" s="237">
        <v>5</v>
      </c>
      <c r="C359" s="345" t="s">
        <v>611</v>
      </c>
      <c r="D359" s="93">
        <v>1</v>
      </c>
      <c r="E359" s="47"/>
      <c r="F359" s="47"/>
      <c r="G359" s="47"/>
      <c r="H359" s="47"/>
      <c r="I359" s="47">
        <v>1</v>
      </c>
      <c r="J359" s="47">
        <f>I359*AL359</f>
        <v>140000</v>
      </c>
      <c r="K359" s="47"/>
      <c r="L359" s="47">
        <v>1</v>
      </c>
      <c r="M359" s="88"/>
      <c r="N359" s="93" t="s">
        <v>153</v>
      </c>
      <c r="O359" s="93" t="s">
        <v>109</v>
      </c>
      <c r="P359" s="145" t="s">
        <v>149</v>
      </c>
      <c r="Q359" s="103">
        <v>7882647</v>
      </c>
      <c r="R359" s="39"/>
      <c r="S359" s="39" t="s">
        <v>154</v>
      </c>
      <c r="T359" s="39" t="s">
        <v>133</v>
      </c>
      <c r="U359" s="39" t="s">
        <v>155</v>
      </c>
      <c r="V359" s="39" t="s">
        <v>623</v>
      </c>
      <c r="W359" s="47">
        <v>341456</v>
      </c>
      <c r="X359" s="120">
        <v>294200</v>
      </c>
      <c r="Y359" s="47">
        <v>311210</v>
      </c>
      <c r="Z359" s="120"/>
      <c r="AA359" s="47">
        <f>AB359+AC359+AD359+AE359</f>
        <v>311210</v>
      </c>
      <c r="AB359" s="120"/>
      <c r="AC359" s="120">
        <f>4210+12800</f>
        <v>17010</v>
      </c>
      <c r="AD359" s="120">
        <f>X359</f>
        <v>294200</v>
      </c>
      <c r="AE359" s="120"/>
      <c r="AF359" s="120"/>
      <c r="AG359" s="120">
        <v>83000</v>
      </c>
      <c r="AH359" s="120">
        <v>39272</v>
      </c>
      <c r="AI359" s="120">
        <v>125000</v>
      </c>
      <c r="AJ359" s="47">
        <f>AF359+AI359</f>
        <v>125000</v>
      </c>
      <c r="AK359" s="120">
        <v>140322</v>
      </c>
      <c r="AL359" s="47">
        <f t="shared" ref="AL359" si="660">AM359+AN359+AO359</f>
        <v>140000</v>
      </c>
      <c r="AM359" s="47"/>
      <c r="AN359" s="47"/>
      <c r="AO359" s="47">
        <v>140000</v>
      </c>
      <c r="AP359" s="47"/>
      <c r="AQ359" s="47"/>
      <c r="AR359" s="48">
        <f>AA359-(AF359+AI359+AL359)</f>
        <v>46210</v>
      </c>
      <c r="AS359" s="49" t="e">
        <f>#REF!-AL359</f>
        <v>#REF!</v>
      </c>
    </row>
    <row r="360" spans="1:45" s="50" customFormat="1" ht="17.100000000000001" customHeight="1">
      <c r="B360" s="36" t="s">
        <v>163</v>
      </c>
      <c r="C360" s="340" t="s">
        <v>164</v>
      </c>
      <c r="D360" s="247">
        <f>D361</f>
        <v>1</v>
      </c>
      <c r="E360" s="43">
        <f t="shared" ref="E360:M360" si="661">E361</f>
        <v>0</v>
      </c>
      <c r="F360" s="43"/>
      <c r="G360" s="43">
        <f t="shared" si="661"/>
        <v>0</v>
      </c>
      <c r="H360" s="43"/>
      <c r="I360" s="43">
        <f t="shared" si="661"/>
        <v>1</v>
      </c>
      <c r="J360" s="43">
        <f t="shared" si="661"/>
        <v>377000</v>
      </c>
      <c r="K360" s="43">
        <f t="shared" si="661"/>
        <v>0</v>
      </c>
      <c r="L360" s="43">
        <f t="shared" si="661"/>
        <v>1</v>
      </c>
      <c r="M360" s="43">
        <f t="shared" si="661"/>
        <v>0</v>
      </c>
      <c r="N360" s="39"/>
      <c r="O360" s="39"/>
      <c r="P360" s="39"/>
      <c r="Q360" s="39"/>
      <c r="R360" s="39"/>
      <c r="S360" s="39"/>
      <c r="T360" s="39"/>
      <c r="U360" s="39"/>
      <c r="V360" s="39"/>
      <c r="W360" s="43">
        <f t="shared" ref="W360" si="662">W361</f>
        <v>2179790</v>
      </c>
      <c r="X360" s="235">
        <f t="shared" ref="X360" si="663">X361</f>
        <v>1200000</v>
      </c>
      <c r="Y360" s="43">
        <f t="shared" ref="Y360" si="664">Y361</f>
        <v>1970940</v>
      </c>
      <c r="Z360" s="235">
        <f t="shared" ref="Z360" si="665">Z361</f>
        <v>0</v>
      </c>
      <c r="AA360" s="43">
        <f t="shared" ref="AA360" si="666">AA361</f>
        <v>1970940</v>
      </c>
      <c r="AB360" s="235">
        <f t="shared" ref="AB360" si="667">AB361</f>
        <v>200000</v>
      </c>
      <c r="AC360" s="235">
        <f t="shared" ref="AC360" si="668">AC361</f>
        <v>570940</v>
      </c>
      <c r="AD360" s="235">
        <f t="shared" ref="AD360" si="669">AD361</f>
        <v>1200000</v>
      </c>
      <c r="AE360" s="235">
        <f t="shared" ref="AE360" si="670">AE361</f>
        <v>0</v>
      </c>
      <c r="AF360" s="235">
        <f t="shared" ref="AF360" si="671">AF361</f>
        <v>8491</v>
      </c>
      <c r="AG360" s="235">
        <f t="shared" ref="AG360" si="672">AG361</f>
        <v>250000</v>
      </c>
      <c r="AH360" s="235">
        <f t="shared" ref="AH360" si="673">AH361</f>
        <v>105000</v>
      </c>
      <c r="AI360" s="235">
        <f t="shared" ref="AI360:AJ360" si="674">AI361</f>
        <v>534871</v>
      </c>
      <c r="AJ360" s="43">
        <f t="shared" si="674"/>
        <v>543362</v>
      </c>
      <c r="AK360" s="235">
        <f t="shared" ref="AK360" si="675">AK361</f>
        <v>427000</v>
      </c>
      <c r="AL360" s="43">
        <f t="shared" ref="AL360" si="676">AL361</f>
        <v>377000</v>
      </c>
      <c r="AM360" s="43">
        <f t="shared" ref="AM360" si="677">AM361</f>
        <v>0</v>
      </c>
      <c r="AN360" s="43">
        <f t="shared" ref="AN360" si="678">AN361</f>
        <v>127000</v>
      </c>
      <c r="AO360" s="43">
        <f t="shared" ref="AO360" si="679">AO361</f>
        <v>250000</v>
      </c>
      <c r="AP360" s="43"/>
      <c r="AQ360" s="47"/>
      <c r="AR360" s="48">
        <f>AA360-(AF360+AI360+AL360)</f>
        <v>1050578</v>
      </c>
      <c r="AS360" s="49" t="e">
        <f>#REF!-AL360</f>
        <v>#REF!</v>
      </c>
    </row>
    <row r="361" spans="1:45" s="73" customFormat="1" ht="89.1" customHeight="1">
      <c r="A361" s="73" t="s">
        <v>104</v>
      </c>
      <c r="B361" s="237">
        <v>1</v>
      </c>
      <c r="C361" s="345" t="s">
        <v>558</v>
      </c>
      <c r="D361" s="93">
        <v>1</v>
      </c>
      <c r="E361" s="47"/>
      <c r="F361" s="47"/>
      <c r="G361" s="47"/>
      <c r="H361" s="47"/>
      <c r="I361" s="47">
        <v>1</v>
      </c>
      <c r="J361" s="47">
        <f>I361*AL361</f>
        <v>377000</v>
      </c>
      <c r="K361" s="47"/>
      <c r="L361" s="47">
        <v>1</v>
      </c>
      <c r="M361" s="88"/>
      <c r="N361" s="39" t="s">
        <v>165</v>
      </c>
      <c r="O361" s="39" t="s">
        <v>109</v>
      </c>
      <c r="P361" s="41" t="s">
        <v>166</v>
      </c>
      <c r="Q361" s="39">
        <v>7879433</v>
      </c>
      <c r="R361" s="39"/>
      <c r="S361" s="39" t="s">
        <v>167</v>
      </c>
      <c r="T361" s="39" t="s">
        <v>168</v>
      </c>
      <c r="U361" s="39" t="s">
        <v>169</v>
      </c>
      <c r="V361" s="39" t="s">
        <v>559</v>
      </c>
      <c r="W361" s="47">
        <v>2179790</v>
      </c>
      <c r="X361" s="120">
        <v>1200000</v>
      </c>
      <c r="Y361" s="47">
        <v>1970940</v>
      </c>
      <c r="Z361" s="120"/>
      <c r="AA361" s="47">
        <f>AB361+AC361+AD361+AE361</f>
        <v>1970940</v>
      </c>
      <c r="AB361" s="120">
        <v>200000</v>
      </c>
      <c r="AC361" s="120">
        <f>8940+562000</f>
        <v>570940</v>
      </c>
      <c r="AD361" s="120">
        <v>1200000</v>
      </c>
      <c r="AE361" s="120"/>
      <c r="AF361" s="120">
        <f>7269+1222</f>
        <v>8491</v>
      </c>
      <c r="AG361" s="120">
        <v>250000</v>
      </c>
      <c r="AH361" s="120">
        <f>5000+100000</f>
        <v>105000</v>
      </c>
      <c r="AI361" s="120">
        <f>196467+148778+150000+39626</f>
        <v>534871</v>
      </c>
      <c r="AJ361" s="47">
        <f>AF361+AI361</f>
        <v>543362</v>
      </c>
      <c r="AK361" s="120">
        <v>427000</v>
      </c>
      <c r="AL361" s="47">
        <f>AM361+AN361+AO361+AP361</f>
        <v>377000</v>
      </c>
      <c r="AM361" s="47"/>
      <c r="AN361" s="47">
        <v>127000</v>
      </c>
      <c r="AO361" s="47">
        <v>250000</v>
      </c>
      <c r="AP361" s="47"/>
      <c r="AQ361" s="47"/>
      <c r="AR361" s="48">
        <f>AA361-(AF361+AI361+AL361)</f>
        <v>1050578</v>
      </c>
      <c r="AS361" s="49" t="e">
        <f>#REF!-AL361</f>
        <v>#REF!</v>
      </c>
    </row>
    <row r="362" spans="1:45" s="73" customFormat="1">
      <c r="B362" s="36" t="s">
        <v>52</v>
      </c>
      <c r="C362" s="340" t="s">
        <v>120</v>
      </c>
      <c r="D362" s="247">
        <f t="shared" ref="D362:M362" si="680">D363</f>
        <v>1</v>
      </c>
      <c r="E362" s="43">
        <f t="shared" si="680"/>
        <v>1</v>
      </c>
      <c r="F362" s="43">
        <f t="shared" si="680"/>
        <v>745000</v>
      </c>
      <c r="G362" s="43">
        <f t="shared" si="680"/>
        <v>0</v>
      </c>
      <c r="H362" s="43">
        <f t="shared" si="680"/>
        <v>0</v>
      </c>
      <c r="I362" s="43">
        <f t="shared" si="680"/>
        <v>0</v>
      </c>
      <c r="J362" s="43">
        <f t="shared" si="680"/>
        <v>0</v>
      </c>
      <c r="K362" s="43">
        <f t="shared" si="680"/>
        <v>1</v>
      </c>
      <c r="L362" s="43">
        <f t="shared" si="680"/>
        <v>0</v>
      </c>
      <c r="M362" s="43">
        <f t="shared" si="680"/>
        <v>0</v>
      </c>
      <c r="N362" s="39"/>
      <c r="O362" s="39"/>
      <c r="P362" s="41"/>
      <c r="Q362" s="39"/>
      <c r="R362" s="39"/>
      <c r="S362" s="39"/>
      <c r="T362" s="39"/>
      <c r="U362" s="39"/>
      <c r="V362" s="39"/>
      <c r="W362" s="43">
        <f>W363</f>
        <v>3640000</v>
      </c>
      <c r="X362" s="235">
        <f t="shared" ref="X362:AP362" si="681">X363</f>
        <v>0</v>
      </c>
      <c r="Y362" s="43">
        <f t="shared" si="681"/>
        <v>2155800</v>
      </c>
      <c r="Z362" s="235">
        <f t="shared" si="681"/>
        <v>0</v>
      </c>
      <c r="AA362" s="43">
        <f t="shared" si="681"/>
        <v>0</v>
      </c>
      <c r="AB362" s="235">
        <f t="shared" si="681"/>
        <v>0</v>
      </c>
      <c r="AC362" s="235">
        <f t="shared" si="681"/>
        <v>0</v>
      </c>
      <c r="AD362" s="235">
        <f t="shared" si="681"/>
        <v>0</v>
      </c>
      <c r="AE362" s="235">
        <f t="shared" si="681"/>
        <v>0</v>
      </c>
      <c r="AF362" s="235">
        <f t="shared" si="681"/>
        <v>0</v>
      </c>
      <c r="AG362" s="235">
        <f t="shared" si="681"/>
        <v>0</v>
      </c>
      <c r="AH362" s="235">
        <f t="shared" si="681"/>
        <v>0</v>
      </c>
      <c r="AI362" s="235">
        <f t="shared" si="681"/>
        <v>0</v>
      </c>
      <c r="AJ362" s="43">
        <f t="shared" si="681"/>
        <v>0</v>
      </c>
      <c r="AK362" s="235">
        <f t="shared" si="681"/>
        <v>745000</v>
      </c>
      <c r="AL362" s="43">
        <f t="shared" si="681"/>
        <v>745000</v>
      </c>
      <c r="AM362" s="43">
        <f t="shared" si="681"/>
        <v>0</v>
      </c>
      <c r="AN362" s="43">
        <f t="shared" si="681"/>
        <v>0</v>
      </c>
      <c r="AO362" s="43">
        <f t="shared" si="681"/>
        <v>0</v>
      </c>
      <c r="AP362" s="43">
        <f t="shared" si="681"/>
        <v>745000</v>
      </c>
      <c r="AQ362" s="47"/>
      <c r="AR362" s="48"/>
      <c r="AS362" s="49"/>
    </row>
    <row r="363" spans="1:45" s="73" customFormat="1" ht="22.5" customHeight="1">
      <c r="B363" s="36" t="s">
        <v>188</v>
      </c>
      <c r="C363" s="340" t="s">
        <v>164</v>
      </c>
      <c r="D363" s="247">
        <f t="shared" ref="D363:M363" si="682">D364</f>
        <v>1</v>
      </c>
      <c r="E363" s="43">
        <f t="shared" si="682"/>
        <v>1</v>
      </c>
      <c r="F363" s="43">
        <f t="shared" si="682"/>
        <v>745000</v>
      </c>
      <c r="G363" s="43">
        <f t="shared" si="682"/>
        <v>0</v>
      </c>
      <c r="H363" s="43">
        <f t="shared" si="682"/>
        <v>0</v>
      </c>
      <c r="I363" s="43">
        <f t="shared" si="682"/>
        <v>0</v>
      </c>
      <c r="J363" s="43">
        <f t="shared" si="682"/>
        <v>0</v>
      </c>
      <c r="K363" s="43">
        <f t="shared" si="682"/>
        <v>1</v>
      </c>
      <c r="L363" s="43">
        <f t="shared" si="682"/>
        <v>0</v>
      </c>
      <c r="M363" s="43">
        <f t="shared" si="682"/>
        <v>0</v>
      </c>
      <c r="N363" s="41"/>
      <c r="O363" s="41"/>
      <c r="P363" s="41"/>
      <c r="Q363" s="39"/>
      <c r="R363" s="39"/>
      <c r="S363" s="96"/>
      <c r="T363" s="39"/>
      <c r="U363" s="39"/>
      <c r="V363" s="39"/>
      <c r="W363" s="43">
        <f>W364</f>
        <v>3640000</v>
      </c>
      <c r="X363" s="235">
        <f t="shared" ref="X363:AP363" si="683">X364</f>
        <v>0</v>
      </c>
      <c r="Y363" s="43">
        <f t="shared" si="683"/>
        <v>2155800</v>
      </c>
      <c r="Z363" s="235">
        <f t="shared" si="683"/>
        <v>0</v>
      </c>
      <c r="AA363" s="43">
        <f t="shared" si="683"/>
        <v>0</v>
      </c>
      <c r="AB363" s="235">
        <f t="shared" si="683"/>
        <v>0</v>
      </c>
      <c r="AC363" s="235">
        <f t="shared" si="683"/>
        <v>0</v>
      </c>
      <c r="AD363" s="235">
        <f t="shared" si="683"/>
        <v>0</v>
      </c>
      <c r="AE363" s="235">
        <f t="shared" si="683"/>
        <v>0</v>
      </c>
      <c r="AF363" s="235">
        <f t="shared" si="683"/>
        <v>0</v>
      </c>
      <c r="AG363" s="235">
        <f t="shared" si="683"/>
        <v>0</v>
      </c>
      <c r="AH363" s="235">
        <f t="shared" si="683"/>
        <v>0</v>
      </c>
      <c r="AI363" s="235">
        <f t="shared" si="683"/>
        <v>0</v>
      </c>
      <c r="AJ363" s="43">
        <f t="shared" si="683"/>
        <v>0</v>
      </c>
      <c r="AK363" s="235">
        <f t="shared" si="683"/>
        <v>745000</v>
      </c>
      <c r="AL363" s="43">
        <f t="shared" si="683"/>
        <v>745000</v>
      </c>
      <c r="AM363" s="43">
        <f t="shared" si="683"/>
        <v>0</v>
      </c>
      <c r="AN363" s="43">
        <f t="shared" si="683"/>
        <v>0</v>
      </c>
      <c r="AO363" s="43">
        <f t="shared" si="683"/>
        <v>0</v>
      </c>
      <c r="AP363" s="43">
        <f t="shared" si="683"/>
        <v>745000</v>
      </c>
      <c r="AQ363" s="47"/>
      <c r="AR363" s="48"/>
      <c r="AS363" s="49"/>
    </row>
    <row r="364" spans="1:45" s="73" customFormat="1" ht="83.45" customHeight="1">
      <c r="A364" s="73" t="s">
        <v>104</v>
      </c>
      <c r="B364" s="237">
        <v>1</v>
      </c>
      <c r="C364" s="345" t="s">
        <v>601</v>
      </c>
      <c r="D364" s="93">
        <v>1</v>
      </c>
      <c r="E364" s="47">
        <v>1</v>
      </c>
      <c r="F364" s="47">
        <f>E364*AL364</f>
        <v>745000</v>
      </c>
      <c r="G364" s="47"/>
      <c r="H364" s="47"/>
      <c r="I364" s="47"/>
      <c r="J364" s="47"/>
      <c r="K364" s="47">
        <v>1</v>
      </c>
      <c r="L364" s="47"/>
      <c r="M364" s="88"/>
      <c r="N364" s="39" t="s">
        <v>596</v>
      </c>
      <c r="O364" s="39" t="s">
        <v>109</v>
      </c>
      <c r="P364" s="41" t="s">
        <v>972</v>
      </c>
      <c r="Q364" s="39"/>
      <c r="R364" s="39"/>
      <c r="S364" s="39" t="s">
        <v>600</v>
      </c>
      <c r="T364" s="39" t="s">
        <v>599</v>
      </c>
      <c r="U364" s="39"/>
      <c r="V364" s="39" t="s">
        <v>597</v>
      </c>
      <c r="W364" s="47">
        <v>3640000</v>
      </c>
      <c r="X364" s="120"/>
      <c r="Y364" s="47">
        <v>2155800</v>
      </c>
      <c r="Z364" s="120"/>
      <c r="AA364" s="47"/>
      <c r="AB364" s="120"/>
      <c r="AC364" s="120"/>
      <c r="AD364" s="120"/>
      <c r="AE364" s="120"/>
      <c r="AF364" s="120"/>
      <c r="AG364" s="120"/>
      <c r="AH364" s="120"/>
      <c r="AI364" s="120"/>
      <c r="AJ364" s="47"/>
      <c r="AK364" s="120">
        <v>745000</v>
      </c>
      <c r="AL364" s="47">
        <f>AM364+AN364+AO364+AP364</f>
        <v>745000</v>
      </c>
      <c r="AM364" s="47"/>
      <c r="AN364" s="47"/>
      <c r="AO364" s="47"/>
      <c r="AP364" s="47">
        <v>745000</v>
      </c>
      <c r="AQ364" s="345"/>
      <c r="AR364" s="48"/>
      <c r="AS364" s="49"/>
    </row>
    <row r="365" spans="1:45" s="50" customFormat="1" ht="87.6" customHeight="1">
      <c r="B365" s="147" t="s">
        <v>104</v>
      </c>
      <c r="C365" s="347" t="s">
        <v>300</v>
      </c>
      <c r="D365" s="247">
        <f t="shared" ref="D365:M365" si="684">D366+D382+D394</f>
        <v>18</v>
      </c>
      <c r="E365" s="43">
        <f t="shared" si="684"/>
        <v>5</v>
      </c>
      <c r="F365" s="43">
        <f t="shared" si="684"/>
        <v>85630</v>
      </c>
      <c r="G365" s="43">
        <f t="shared" si="684"/>
        <v>8</v>
      </c>
      <c r="H365" s="43">
        <f t="shared" si="684"/>
        <v>50600</v>
      </c>
      <c r="I365" s="43">
        <f t="shared" si="684"/>
        <v>5</v>
      </c>
      <c r="J365" s="43">
        <f t="shared" si="684"/>
        <v>64000</v>
      </c>
      <c r="K365" s="43" t="e">
        <f t="shared" si="684"/>
        <v>#REF!</v>
      </c>
      <c r="L365" s="43" t="e">
        <f t="shared" si="684"/>
        <v>#REF!</v>
      </c>
      <c r="M365" s="43" t="e">
        <f t="shared" si="684"/>
        <v>#REF!</v>
      </c>
      <c r="N365" s="39"/>
      <c r="O365" s="39"/>
      <c r="P365" s="39"/>
      <c r="Q365" s="39"/>
      <c r="R365" s="39"/>
      <c r="S365" s="39"/>
      <c r="T365" s="39"/>
      <c r="U365" s="39"/>
      <c r="V365" s="39"/>
      <c r="W365" s="43">
        <f t="shared" ref="W365:AP365" si="685">W366+W382+W394</f>
        <v>1055416</v>
      </c>
      <c r="X365" s="235" t="e">
        <f t="shared" si="685"/>
        <v>#REF!</v>
      </c>
      <c r="Y365" s="43">
        <f t="shared" si="685"/>
        <v>1047831</v>
      </c>
      <c r="Z365" s="235">
        <f t="shared" si="685"/>
        <v>0</v>
      </c>
      <c r="AA365" s="43">
        <f t="shared" si="685"/>
        <v>584580</v>
      </c>
      <c r="AB365" s="235">
        <f t="shared" si="685"/>
        <v>0</v>
      </c>
      <c r="AC365" s="235">
        <f t="shared" si="685"/>
        <v>453580</v>
      </c>
      <c r="AD365" s="235">
        <f t="shared" si="685"/>
        <v>0</v>
      </c>
      <c r="AE365" s="235">
        <f t="shared" si="685"/>
        <v>0</v>
      </c>
      <c r="AF365" s="235">
        <f t="shared" si="685"/>
        <v>87107.756999999998</v>
      </c>
      <c r="AG365" s="235">
        <f t="shared" si="685"/>
        <v>256000</v>
      </c>
      <c r="AH365" s="235">
        <f t="shared" si="685"/>
        <v>86948.967000000004</v>
      </c>
      <c r="AI365" s="235">
        <f t="shared" si="685"/>
        <v>237668</v>
      </c>
      <c r="AJ365" s="43">
        <f t="shared" si="685"/>
        <v>324775.75699999998</v>
      </c>
      <c r="AK365" s="235">
        <f t="shared" si="685"/>
        <v>205400</v>
      </c>
      <c r="AL365" s="43">
        <f t="shared" si="685"/>
        <v>200230</v>
      </c>
      <c r="AM365" s="43">
        <f t="shared" si="685"/>
        <v>0</v>
      </c>
      <c r="AN365" s="43">
        <f t="shared" si="685"/>
        <v>200230</v>
      </c>
      <c r="AO365" s="43">
        <f t="shared" si="685"/>
        <v>0</v>
      </c>
      <c r="AP365" s="43">
        <f t="shared" si="685"/>
        <v>0</v>
      </c>
      <c r="AQ365" s="47"/>
      <c r="AR365" s="48">
        <f t="shared" ref="AR365:AR371" si="686">AA365-(AF365+AI365+AL365)</f>
        <v>59574.243000000017</v>
      </c>
      <c r="AS365" s="49" t="e">
        <f>#REF!-AL365</f>
        <v>#REF!</v>
      </c>
    </row>
    <row r="366" spans="1:45" s="50" customFormat="1" ht="33.6" customHeight="1">
      <c r="B366" s="36" t="s">
        <v>201</v>
      </c>
      <c r="C366" s="340" t="s">
        <v>175</v>
      </c>
      <c r="D366" s="247">
        <f t="shared" ref="D366:J366" si="687">D367</f>
        <v>8</v>
      </c>
      <c r="E366" s="43">
        <f t="shared" si="687"/>
        <v>0</v>
      </c>
      <c r="F366" s="43">
        <f t="shared" si="687"/>
        <v>0</v>
      </c>
      <c r="G366" s="43">
        <f t="shared" si="687"/>
        <v>8</v>
      </c>
      <c r="H366" s="43">
        <f t="shared" si="687"/>
        <v>50600</v>
      </c>
      <c r="I366" s="43">
        <f t="shared" si="687"/>
        <v>0</v>
      </c>
      <c r="J366" s="43">
        <f t="shared" si="687"/>
        <v>0</v>
      </c>
      <c r="K366" s="43">
        <f t="shared" ref="K366:M366" si="688">K367</f>
        <v>0</v>
      </c>
      <c r="L366" s="43">
        <f t="shared" si="688"/>
        <v>6</v>
      </c>
      <c r="M366" s="43">
        <f t="shared" si="688"/>
        <v>0</v>
      </c>
      <c r="N366" s="39"/>
      <c r="O366" s="39"/>
      <c r="P366" s="39"/>
      <c r="Q366" s="39"/>
      <c r="R366" s="39"/>
      <c r="S366" s="39"/>
      <c r="T366" s="39"/>
      <c r="U366" s="39"/>
      <c r="V366" s="39"/>
      <c r="W366" s="43">
        <f t="shared" ref="W366:AP366" si="689">W367</f>
        <v>354247</v>
      </c>
      <c r="X366" s="235">
        <f t="shared" si="689"/>
        <v>0</v>
      </c>
      <c r="Y366" s="43">
        <f t="shared" si="689"/>
        <v>346662</v>
      </c>
      <c r="Z366" s="235">
        <f t="shared" si="689"/>
        <v>0</v>
      </c>
      <c r="AA366" s="43">
        <f t="shared" si="689"/>
        <v>257000</v>
      </c>
      <c r="AB366" s="235">
        <f t="shared" si="689"/>
        <v>0</v>
      </c>
      <c r="AC366" s="235">
        <f t="shared" si="689"/>
        <v>193000</v>
      </c>
      <c r="AD366" s="235">
        <f t="shared" si="689"/>
        <v>0</v>
      </c>
      <c r="AE366" s="235">
        <f t="shared" si="689"/>
        <v>0</v>
      </c>
      <c r="AF366" s="235">
        <f t="shared" si="689"/>
        <v>50107.756999999998</v>
      </c>
      <c r="AG366" s="235">
        <f t="shared" si="689"/>
        <v>146000</v>
      </c>
      <c r="AH366" s="235">
        <f t="shared" si="689"/>
        <v>58306.966999999997</v>
      </c>
      <c r="AI366" s="235">
        <f t="shared" si="689"/>
        <v>152452</v>
      </c>
      <c r="AJ366" s="43">
        <f t="shared" si="689"/>
        <v>202559.75699999998</v>
      </c>
      <c r="AK366" s="235">
        <f t="shared" si="689"/>
        <v>53400</v>
      </c>
      <c r="AL366" s="43">
        <f t="shared" si="689"/>
        <v>50600</v>
      </c>
      <c r="AM366" s="43">
        <f t="shared" si="689"/>
        <v>0</v>
      </c>
      <c r="AN366" s="43">
        <f t="shared" si="689"/>
        <v>50600</v>
      </c>
      <c r="AO366" s="43">
        <f t="shared" si="689"/>
        <v>0</v>
      </c>
      <c r="AP366" s="43">
        <f t="shared" si="689"/>
        <v>0</v>
      </c>
      <c r="AQ366" s="47"/>
      <c r="AR366" s="48">
        <f t="shared" si="686"/>
        <v>3840.2430000000168</v>
      </c>
      <c r="AS366" s="49" t="e">
        <f>#REF!-AL366</f>
        <v>#REF!</v>
      </c>
    </row>
    <row r="367" spans="1:45" s="133" customFormat="1" ht="18" customHeight="1">
      <c r="B367" s="129" t="s">
        <v>602</v>
      </c>
      <c r="C367" s="348" t="s">
        <v>119</v>
      </c>
      <c r="D367" s="439">
        <f t="shared" ref="D367:J367" si="690">D368+D373+D376+D379</f>
        <v>8</v>
      </c>
      <c r="E367" s="69">
        <f t="shared" si="690"/>
        <v>0</v>
      </c>
      <c r="F367" s="69">
        <f t="shared" si="690"/>
        <v>0</v>
      </c>
      <c r="G367" s="69">
        <f t="shared" si="690"/>
        <v>8</v>
      </c>
      <c r="H367" s="69">
        <f t="shared" si="690"/>
        <v>50600</v>
      </c>
      <c r="I367" s="69">
        <f t="shared" si="690"/>
        <v>0</v>
      </c>
      <c r="J367" s="69">
        <f t="shared" si="690"/>
        <v>0</v>
      </c>
      <c r="K367" s="69">
        <f>K368+K373+K376</f>
        <v>0</v>
      </c>
      <c r="L367" s="69">
        <f>L368+L373+L376</f>
        <v>6</v>
      </c>
      <c r="M367" s="69">
        <f>M368+M373+M376</f>
        <v>0</v>
      </c>
      <c r="N367" s="122"/>
      <c r="O367" s="122"/>
      <c r="P367" s="122"/>
      <c r="Q367" s="122"/>
      <c r="R367" s="122"/>
      <c r="S367" s="122"/>
      <c r="T367" s="122"/>
      <c r="U367" s="122"/>
      <c r="V367" s="122"/>
      <c r="W367" s="69">
        <f>W368+W373+W376+W379</f>
        <v>354247</v>
      </c>
      <c r="X367" s="236">
        <f>X368+X373+X376</f>
        <v>0</v>
      </c>
      <c r="Y367" s="69">
        <f t="shared" ref="Y367:AP367" si="691">Y368+Y373+Y376+Y379</f>
        <v>346662</v>
      </c>
      <c r="Z367" s="69">
        <f t="shared" si="691"/>
        <v>0</v>
      </c>
      <c r="AA367" s="69">
        <f t="shared" si="691"/>
        <v>257000</v>
      </c>
      <c r="AB367" s="236">
        <f t="shared" si="691"/>
        <v>0</v>
      </c>
      <c r="AC367" s="236">
        <f t="shared" si="691"/>
        <v>193000</v>
      </c>
      <c r="AD367" s="236">
        <f t="shared" si="691"/>
        <v>0</v>
      </c>
      <c r="AE367" s="236">
        <f t="shared" si="691"/>
        <v>0</v>
      </c>
      <c r="AF367" s="236">
        <f t="shared" si="691"/>
        <v>50107.756999999998</v>
      </c>
      <c r="AG367" s="236">
        <f t="shared" si="691"/>
        <v>146000</v>
      </c>
      <c r="AH367" s="236">
        <f t="shared" si="691"/>
        <v>58306.966999999997</v>
      </c>
      <c r="AI367" s="236">
        <f t="shared" si="691"/>
        <v>152452</v>
      </c>
      <c r="AJ367" s="69">
        <f t="shared" si="691"/>
        <v>202559.75699999998</v>
      </c>
      <c r="AK367" s="236">
        <f t="shared" si="691"/>
        <v>53400</v>
      </c>
      <c r="AL367" s="69">
        <f t="shared" si="691"/>
        <v>50600</v>
      </c>
      <c r="AM367" s="69">
        <f t="shared" si="691"/>
        <v>0</v>
      </c>
      <c r="AN367" s="69">
        <f t="shared" si="691"/>
        <v>50600</v>
      </c>
      <c r="AO367" s="69">
        <f t="shared" si="691"/>
        <v>0</v>
      </c>
      <c r="AP367" s="69">
        <f t="shared" si="691"/>
        <v>0</v>
      </c>
      <c r="AQ367" s="130"/>
      <c r="AR367" s="131">
        <f t="shared" si="686"/>
        <v>3840.2430000000168</v>
      </c>
      <c r="AS367" s="132" t="e">
        <f>#REF!-AL367</f>
        <v>#REF!</v>
      </c>
    </row>
    <row r="368" spans="1:45" s="50" customFormat="1" ht="34.5" customHeight="1">
      <c r="B368" s="36"/>
      <c r="C368" s="340" t="s">
        <v>953</v>
      </c>
      <c r="D368" s="247">
        <f t="shared" ref="D368:J368" si="692">D369+D370+D371+D372</f>
        <v>4</v>
      </c>
      <c r="E368" s="43">
        <f t="shared" si="692"/>
        <v>0</v>
      </c>
      <c r="F368" s="43">
        <f t="shared" si="692"/>
        <v>0</v>
      </c>
      <c r="G368" s="43">
        <f t="shared" si="692"/>
        <v>4</v>
      </c>
      <c r="H368" s="43">
        <f t="shared" si="692"/>
        <v>19100</v>
      </c>
      <c r="I368" s="43">
        <f t="shared" si="692"/>
        <v>0</v>
      </c>
      <c r="J368" s="43">
        <f t="shared" si="692"/>
        <v>0</v>
      </c>
      <c r="K368" s="43">
        <f t="shared" ref="K368:M368" si="693">K369+K370+K371</f>
        <v>0</v>
      </c>
      <c r="L368" s="43">
        <f t="shared" si="693"/>
        <v>3</v>
      </c>
      <c r="M368" s="43">
        <f t="shared" si="693"/>
        <v>0</v>
      </c>
      <c r="N368" s="39"/>
      <c r="O368" s="39"/>
      <c r="P368" s="39"/>
      <c r="Q368" s="39"/>
      <c r="R368" s="39"/>
      <c r="S368" s="39"/>
      <c r="T368" s="39"/>
      <c r="U368" s="39"/>
      <c r="V368" s="39"/>
      <c r="W368" s="43">
        <f>W369+W370+W371+W372</f>
        <v>125199</v>
      </c>
      <c r="X368" s="235">
        <f t="shared" ref="X368" si="694">X369+X370+X371</f>
        <v>0</v>
      </c>
      <c r="Y368" s="43">
        <f t="shared" ref="Y368:AP368" si="695">Y369+Y370+Y371+Y372</f>
        <v>124240</v>
      </c>
      <c r="Z368" s="43">
        <f t="shared" si="695"/>
        <v>0</v>
      </c>
      <c r="AA368" s="43">
        <f t="shared" si="695"/>
        <v>93000</v>
      </c>
      <c r="AB368" s="235">
        <f t="shared" si="695"/>
        <v>0</v>
      </c>
      <c r="AC368" s="235">
        <f t="shared" si="695"/>
        <v>79000</v>
      </c>
      <c r="AD368" s="235">
        <f t="shared" si="695"/>
        <v>0</v>
      </c>
      <c r="AE368" s="235">
        <f t="shared" si="695"/>
        <v>0</v>
      </c>
      <c r="AF368" s="235">
        <f t="shared" si="695"/>
        <v>30107.756999999998</v>
      </c>
      <c r="AG368" s="235">
        <f t="shared" si="695"/>
        <v>56000</v>
      </c>
      <c r="AH368" s="235">
        <f t="shared" si="695"/>
        <v>19335.159</v>
      </c>
      <c r="AI368" s="235">
        <f t="shared" si="695"/>
        <v>43792</v>
      </c>
      <c r="AJ368" s="43">
        <f t="shared" si="695"/>
        <v>73899.756999999998</v>
      </c>
      <c r="AK368" s="235">
        <f t="shared" si="695"/>
        <v>19100</v>
      </c>
      <c r="AL368" s="43">
        <f t="shared" si="695"/>
        <v>19100</v>
      </c>
      <c r="AM368" s="43">
        <f t="shared" si="695"/>
        <v>0</v>
      </c>
      <c r="AN368" s="43">
        <f t="shared" si="695"/>
        <v>19100</v>
      </c>
      <c r="AO368" s="43">
        <f t="shared" si="695"/>
        <v>0</v>
      </c>
      <c r="AP368" s="43">
        <f t="shared" si="695"/>
        <v>0</v>
      </c>
      <c r="AQ368" s="47"/>
      <c r="AR368" s="48">
        <f t="shared" si="686"/>
        <v>0.24300000000221189</v>
      </c>
      <c r="AS368" s="49" t="e">
        <f>#REF!-AL368</f>
        <v>#REF!</v>
      </c>
    </row>
    <row r="369" spans="1:45" s="50" customFormat="1" ht="51.6" customHeight="1">
      <c r="A369" s="50" t="s">
        <v>749</v>
      </c>
      <c r="B369" s="237">
        <v>1</v>
      </c>
      <c r="C369" s="102" t="s">
        <v>348</v>
      </c>
      <c r="D369" s="93">
        <v>1</v>
      </c>
      <c r="E369" s="47"/>
      <c r="F369" s="47"/>
      <c r="G369" s="47">
        <v>1</v>
      </c>
      <c r="H369" s="47">
        <f>G369*AL369</f>
        <v>6800</v>
      </c>
      <c r="I369" s="47"/>
      <c r="J369" s="47"/>
      <c r="K369" s="47"/>
      <c r="L369" s="47">
        <v>1</v>
      </c>
      <c r="M369" s="88"/>
      <c r="N369" s="93" t="s">
        <v>222</v>
      </c>
      <c r="O369" s="93" t="s">
        <v>302</v>
      </c>
      <c r="P369" s="93" t="s">
        <v>303</v>
      </c>
      <c r="Q369" s="103">
        <v>7879078</v>
      </c>
      <c r="R369" s="93">
        <v>0</v>
      </c>
      <c r="S369" s="93" t="s">
        <v>349</v>
      </c>
      <c r="T369" s="39" t="s">
        <v>114</v>
      </c>
      <c r="U369" s="39"/>
      <c r="V369" s="39" t="s">
        <v>350</v>
      </c>
      <c r="W369" s="44">
        <v>40543</v>
      </c>
      <c r="X369" s="213"/>
      <c r="Y369" s="44">
        <v>40543</v>
      </c>
      <c r="Z369" s="235"/>
      <c r="AA369" s="47">
        <f t="shared" ref="AA369:AA371" si="696">AB369+AC369+AD369+AE369</f>
        <v>28000</v>
      </c>
      <c r="AB369" s="235"/>
      <c r="AC369" s="213">
        <v>28000</v>
      </c>
      <c r="AD369" s="235"/>
      <c r="AE369" s="235"/>
      <c r="AF369" s="213">
        <v>14000</v>
      </c>
      <c r="AG369" s="250">
        <f>11900+2100</f>
        <v>14000</v>
      </c>
      <c r="AH369" s="213">
        <v>407.59800000000001</v>
      </c>
      <c r="AI369" s="250">
        <v>7200</v>
      </c>
      <c r="AJ369" s="47">
        <f>AF369+AI369</f>
        <v>21200</v>
      </c>
      <c r="AK369" s="120">
        <f>AG369-AI369</f>
        <v>6800</v>
      </c>
      <c r="AL369" s="47">
        <f t="shared" ref="AL369:AL372" si="697">AM369+AN369+AO369</f>
        <v>6800</v>
      </c>
      <c r="AM369" s="43"/>
      <c r="AN369" s="47">
        <v>6800</v>
      </c>
      <c r="AO369" s="43"/>
      <c r="AP369" s="43"/>
      <c r="AQ369" s="47"/>
      <c r="AR369" s="48">
        <f t="shared" si="686"/>
        <v>0</v>
      </c>
      <c r="AS369" s="49" t="e">
        <f>#REF!-AL369</f>
        <v>#REF!</v>
      </c>
    </row>
    <row r="370" spans="1:45" s="50" customFormat="1" ht="51.6" customHeight="1">
      <c r="A370" s="50" t="s">
        <v>749</v>
      </c>
      <c r="B370" s="237">
        <v>2</v>
      </c>
      <c r="C370" s="102" t="s">
        <v>351</v>
      </c>
      <c r="D370" s="93">
        <v>1</v>
      </c>
      <c r="E370" s="47"/>
      <c r="F370" s="47"/>
      <c r="G370" s="47">
        <v>1</v>
      </c>
      <c r="H370" s="47">
        <f>G370*AL370</f>
        <v>4000</v>
      </c>
      <c r="I370" s="47"/>
      <c r="J370" s="47"/>
      <c r="K370" s="47"/>
      <c r="L370" s="47">
        <v>1</v>
      </c>
      <c r="M370" s="88"/>
      <c r="N370" s="93" t="s">
        <v>222</v>
      </c>
      <c r="O370" s="93" t="s">
        <v>302</v>
      </c>
      <c r="P370" s="93" t="s">
        <v>303</v>
      </c>
      <c r="Q370" s="103">
        <v>7889685</v>
      </c>
      <c r="R370" s="93"/>
      <c r="S370" s="93" t="s">
        <v>353</v>
      </c>
      <c r="T370" s="39" t="s">
        <v>114</v>
      </c>
      <c r="U370" s="39"/>
      <c r="V370" s="39" t="s">
        <v>355</v>
      </c>
      <c r="W370" s="44">
        <v>33155</v>
      </c>
      <c r="X370" s="213"/>
      <c r="Y370" s="44">
        <v>33155</v>
      </c>
      <c r="Z370" s="235"/>
      <c r="AA370" s="47">
        <f t="shared" si="696"/>
        <v>23000</v>
      </c>
      <c r="AB370" s="235"/>
      <c r="AC370" s="213">
        <v>23000</v>
      </c>
      <c r="AD370" s="235"/>
      <c r="AE370" s="235"/>
      <c r="AF370" s="213">
        <v>4500</v>
      </c>
      <c r="AG370" s="250">
        <f>7600+10900</f>
        <v>18500</v>
      </c>
      <c r="AH370" s="213">
        <v>8843.5609999999997</v>
      </c>
      <c r="AI370" s="213">
        <v>14500</v>
      </c>
      <c r="AJ370" s="47">
        <f>AF370+AI370</f>
        <v>19000</v>
      </c>
      <c r="AK370" s="120">
        <f>AG370-AI370</f>
        <v>4000</v>
      </c>
      <c r="AL370" s="47">
        <f t="shared" si="697"/>
        <v>4000</v>
      </c>
      <c r="AM370" s="43"/>
      <c r="AN370" s="47">
        <v>4000</v>
      </c>
      <c r="AO370" s="43"/>
      <c r="AP370" s="43"/>
      <c r="AQ370" s="47"/>
      <c r="AR370" s="48">
        <f t="shared" si="686"/>
        <v>0</v>
      </c>
      <c r="AS370" s="49" t="e">
        <f>#REF!-AL370</f>
        <v>#REF!</v>
      </c>
    </row>
    <row r="371" spans="1:45" s="50" customFormat="1" ht="51.6" customHeight="1">
      <c r="A371" s="50" t="s">
        <v>749</v>
      </c>
      <c r="B371" s="237">
        <v>3</v>
      </c>
      <c r="C371" s="102" t="s">
        <v>352</v>
      </c>
      <c r="D371" s="93">
        <v>1</v>
      </c>
      <c r="E371" s="47"/>
      <c r="F371" s="47"/>
      <c r="G371" s="47">
        <v>1</v>
      </c>
      <c r="H371" s="47">
        <f>G371*AL371</f>
        <v>7500</v>
      </c>
      <c r="I371" s="47"/>
      <c r="J371" s="47"/>
      <c r="K371" s="47"/>
      <c r="L371" s="47">
        <v>1</v>
      </c>
      <c r="M371" s="88"/>
      <c r="N371" s="93" t="s">
        <v>222</v>
      </c>
      <c r="O371" s="93" t="s">
        <v>302</v>
      </c>
      <c r="P371" s="93" t="s">
        <v>303</v>
      </c>
      <c r="Q371" s="103">
        <v>7889682</v>
      </c>
      <c r="R371" s="93"/>
      <c r="S371" s="93" t="s">
        <v>354</v>
      </c>
      <c r="T371" s="39" t="s">
        <v>114</v>
      </c>
      <c r="U371" s="39"/>
      <c r="V371" s="39" t="s">
        <v>356</v>
      </c>
      <c r="W371" s="44">
        <v>36542</v>
      </c>
      <c r="X371" s="213"/>
      <c r="Y371" s="44">
        <v>36542</v>
      </c>
      <c r="Z371" s="235"/>
      <c r="AA371" s="47">
        <f t="shared" si="696"/>
        <v>28000</v>
      </c>
      <c r="AB371" s="235"/>
      <c r="AC371" s="213">
        <v>28000</v>
      </c>
      <c r="AD371" s="235"/>
      <c r="AE371" s="235"/>
      <c r="AF371" s="213">
        <v>4500</v>
      </c>
      <c r="AG371" s="250">
        <f>7600+15900</f>
        <v>23500</v>
      </c>
      <c r="AH371" s="213">
        <v>10084</v>
      </c>
      <c r="AI371" s="250">
        <v>16000</v>
      </c>
      <c r="AJ371" s="47">
        <f>AF371+AI371</f>
        <v>20500</v>
      </c>
      <c r="AK371" s="120">
        <f>AG371-AI371</f>
        <v>7500</v>
      </c>
      <c r="AL371" s="47">
        <f t="shared" si="697"/>
        <v>7500</v>
      </c>
      <c r="AM371" s="43"/>
      <c r="AN371" s="47">
        <v>7500</v>
      </c>
      <c r="AO371" s="43"/>
      <c r="AP371" s="43"/>
      <c r="AQ371" s="47"/>
      <c r="AR371" s="48">
        <f t="shared" si="686"/>
        <v>0</v>
      </c>
      <c r="AS371" s="49" t="e">
        <f>#REF!-AL371</f>
        <v>#REF!</v>
      </c>
    </row>
    <row r="372" spans="1:45" s="50" customFormat="1" ht="51.6" customHeight="1">
      <c r="B372" s="237">
        <v>4</v>
      </c>
      <c r="C372" s="102" t="s">
        <v>1018</v>
      </c>
      <c r="D372" s="93">
        <v>1</v>
      </c>
      <c r="E372" s="47"/>
      <c r="F372" s="47"/>
      <c r="G372" s="47">
        <v>1</v>
      </c>
      <c r="H372" s="47">
        <f>G372*AL372</f>
        <v>800</v>
      </c>
      <c r="I372" s="47"/>
      <c r="J372" s="47"/>
      <c r="K372" s="47"/>
      <c r="L372" s="47"/>
      <c r="M372" s="88"/>
      <c r="N372" s="93" t="s">
        <v>222</v>
      </c>
      <c r="O372" s="93" t="s">
        <v>302</v>
      </c>
      <c r="P372" s="93" t="s">
        <v>303</v>
      </c>
      <c r="Q372" s="103">
        <v>7879077</v>
      </c>
      <c r="R372" s="93"/>
      <c r="S372" s="93" t="s">
        <v>1019</v>
      </c>
      <c r="T372" s="39" t="s">
        <v>114</v>
      </c>
      <c r="U372" s="39"/>
      <c r="V372" s="39" t="s">
        <v>1020</v>
      </c>
      <c r="W372" s="44">
        <v>14959</v>
      </c>
      <c r="X372" s="213"/>
      <c r="Y372" s="44">
        <v>14000</v>
      </c>
      <c r="Z372" s="235"/>
      <c r="AA372" s="47">
        <v>14000</v>
      </c>
      <c r="AB372" s="235"/>
      <c r="AC372" s="213"/>
      <c r="AD372" s="235"/>
      <c r="AE372" s="235"/>
      <c r="AF372" s="213">
        <v>7107.7569999999996</v>
      </c>
      <c r="AG372" s="250"/>
      <c r="AH372" s="213"/>
      <c r="AI372" s="250">
        <f>3892+2200</f>
        <v>6092</v>
      </c>
      <c r="AJ372" s="47">
        <f>AF372+AI372</f>
        <v>13199.757</v>
      </c>
      <c r="AK372" s="120">
        <v>800</v>
      </c>
      <c r="AL372" s="47">
        <f t="shared" si="697"/>
        <v>800</v>
      </c>
      <c r="AM372" s="43"/>
      <c r="AN372" s="47">
        <v>800</v>
      </c>
      <c r="AO372" s="43"/>
      <c r="AP372" s="43"/>
      <c r="AQ372" s="47"/>
      <c r="AR372" s="48"/>
      <c r="AS372" s="49"/>
    </row>
    <row r="373" spans="1:45" s="50" customFormat="1" ht="35.450000000000003" customHeight="1">
      <c r="B373" s="36"/>
      <c r="C373" s="340" t="s">
        <v>954</v>
      </c>
      <c r="D373" s="247">
        <f>D374</f>
        <v>1</v>
      </c>
      <c r="E373" s="43">
        <f t="shared" ref="E373:M373" si="698">E374</f>
        <v>0</v>
      </c>
      <c r="F373" s="43"/>
      <c r="G373" s="43">
        <f t="shared" si="698"/>
        <v>1</v>
      </c>
      <c r="H373" s="43">
        <f t="shared" si="698"/>
        <v>19000</v>
      </c>
      <c r="I373" s="43">
        <f t="shared" si="698"/>
        <v>0</v>
      </c>
      <c r="J373" s="43">
        <f t="shared" si="698"/>
        <v>0</v>
      </c>
      <c r="K373" s="43">
        <f t="shared" si="698"/>
        <v>0</v>
      </c>
      <c r="L373" s="43">
        <f t="shared" si="698"/>
        <v>1</v>
      </c>
      <c r="M373" s="43">
        <f t="shared" si="698"/>
        <v>0</v>
      </c>
      <c r="N373" s="39"/>
      <c r="O373" s="39"/>
      <c r="P373" s="39"/>
      <c r="Q373" s="39"/>
      <c r="R373" s="39"/>
      <c r="S373" s="39"/>
      <c r="T373" s="39"/>
      <c r="U373" s="39"/>
      <c r="V373" s="39"/>
      <c r="W373" s="43">
        <f t="shared" ref="W373" si="699">W374</f>
        <v>36769</v>
      </c>
      <c r="X373" s="235">
        <f t="shared" ref="X373" si="700">X374</f>
        <v>0</v>
      </c>
      <c r="Y373" s="43">
        <f t="shared" ref="Y373" si="701">Y374</f>
        <v>36769</v>
      </c>
      <c r="Z373" s="235">
        <f t="shared" ref="Z373" si="702">Z374</f>
        <v>0</v>
      </c>
      <c r="AA373" s="43">
        <f t="shared" ref="AA373" si="703">AA374</f>
        <v>29000</v>
      </c>
      <c r="AB373" s="235">
        <f t="shared" ref="AB373" si="704">AB374</f>
        <v>0</v>
      </c>
      <c r="AC373" s="235">
        <f t="shared" ref="AC373" si="705">AC374</f>
        <v>29000</v>
      </c>
      <c r="AD373" s="235">
        <f t="shared" ref="AD373" si="706">AD374</f>
        <v>0</v>
      </c>
      <c r="AE373" s="235">
        <f t="shared" ref="AE373" si="707">AE374</f>
        <v>0</v>
      </c>
      <c r="AF373" s="235">
        <f t="shared" ref="AF373" si="708">AF374</f>
        <v>0</v>
      </c>
      <c r="AG373" s="235">
        <f t="shared" ref="AG373" si="709">AG374</f>
        <v>7000</v>
      </c>
      <c r="AH373" s="235">
        <f t="shared" ref="AH373" si="710">AH374</f>
        <v>6981.9709999999995</v>
      </c>
      <c r="AI373" s="235">
        <f t="shared" ref="AI373:AJ373" si="711">AI374</f>
        <v>7200</v>
      </c>
      <c r="AJ373" s="43">
        <f t="shared" si="711"/>
        <v>7200</v>
      </c>
      <c r="AK373" s="235">
        <f t="shared" ref="AK373" si="712">AK374</f>
        <v>21800</v>
      </c>
      <c r="AL373" s="43">
        <f t="shared" ref="AL373" si="713">AL374</f>
        <v>19000</v>
      </c>
      <c r="AM373" s="43">
        <f t="shared" ref="AM373" si="714">AM374</f>
        <v>0</v>
      </c>
      <c r="AN373" s="43">
        <f t="shared" ref="AN373" si="715">AN374</f>
        <v>19000</v>
      </c>
      <c r="AO373" s="43">
        <f t="shared" ref="AO373" si="716">AO374</f>
        <v>0</v>
      </c>
      <c r="AP373" s="43"/>
      <c r="AQ373" s="47"/>
      <c r="AR373" s="48">
        <f>AA373-(AF373+AI373+AL373)</f>
        <v>2800</v>
      </c>
      <c r="AS373" s="49" t="e">
        <f>#REF!-AL373</f>
        <v>#REF!</v>
      </c>
    </row>
    <row r="374" spans="1:45" s="50" customFormat="1" ht="60.6" customHeight="1">
      <c r="A374" s="50" t="s">
        <v>749</v>
      </c>
      <c r="B374" s="237">
        <v>1</v>
      </c>
      <c r="C374" s="125" t="s">
        <v>711</v>
      </c>
      <c r="D374" s="93">
        <v>1</v>
      </c>
      <c r="E374" s="47"/>
      <c r="F374" s="47"/>
      <c r="G374" s="47">
        <v>1</v>
      </c>
      <c r="H374" s="47">
        <f>G374*AL374</f>
        <v>19000</v>
      </c>
      <c r="I374" s="47"/>
      <c r="J374" s="47"/>
      <c r="K374" s="47"/>
      <c r="L374" s="47">
        <v>1</v>
      </c>
      <c r="M374" s="88"/>
      <c r="N374" s="93" t="s">
        <v>161</v>
      </c>
      <c r="O374" s="93" t="s">
        <v>362</v>
      </c>
      <c r="P374" s="93" t="s">
        <v>363</v>
      </c>
      <c r="Q374" s="39">
        <v>7860957</v>
      </c>
      <c r="R374" s="39"/>
      <c r="S374" s="93" t="s">
        <v>378</v>
      </c>
      <c r="T374" s="39" t="s">
        <v>114</v>
      </c>
      <c r="U374" s="39"/>
      <c r="V374" s="39" t="s">
        <v>377</v>
      </c>
      <c r="W374" s="44">
        <v>36769</v>
      </c>
      <c r="X374" s="213"/>
      <c r="Y374" s="44">
        <v>36769</v>
      </c>
      <c r="Z374" s="235"/>
      <c r="AA374" s="47">
        <f>AB374+AC374+AD374+AE374</f>
        <v>29000</v>
      </c>
      <c r="AB374" s="235"/>
      <c r="AC374" s="213">
        <v>29000</v>
      </c>
      <c r="AD374" s="235"/>
      <c r="AE374" s="235"/>
      <c r="AF374" s="235"/>
      <c r="AG374" s="250">
        <v>7000</v>
      </c>
      <c r="AH374" s="213">
        <v>6981.9709999999995</v>
      </c>
      <c r="AI374" s="250">
        <v>7200</v>
      </c>
      <c r="AJ374" s="47">
        <f>AF374+AI374</f>
        <v>7200</v>
      </c>
      <c r="AK374" s="120">
        <v>21800</v>
      </c>
      <c r="AL374" s="47">
        <f t="shared" ref="AL374" si="717">AM374+AN374+AO374</f>
        <v>19000</v>
      </c>
      <c r="AM374" s="43"/>
      <c r="AN374" s="47">
        <v>19000</v>
      </c>
      <c r="AO374" s="43"/>
      <c r="AP374" s="43"/>
      <c r="AQ374" s="47"/>
      <c r="AR374" s="48">
        <f>AA374-(AF374+AI374+AL374)</f>
        <v>2800</v>
      </c>
      <c r="AS374" s="49" t="e">
        <f>#REF!-AL374</f>
        <v>#REF!</v>
      </c>
    </row>
    <row r="375" spans="1:45" s="50" customFormat="1">
      <c r="B375" s="237"/>
      <c r="C375" s="125"/>
      <c r="D375" s="93"/>
      <c r="E375" s="47"/>
      <c r="F375" s="47"/>
      <c r="G375" s="47"/>
      <c r="H375" s="47"/>
      <c r="I375" s="47"/>
      <c r="J375" s="47"/>
      <c r="K375" s="47"/>
      <c r="L375" s="47"/>
      <c r="M375" s="88"/>
      <c r="N375" s="93"/>
      <c r="O375" s="93"/>
      <c r="P375" s="93"/>
      <c r="Q375" s="39"/>
      <c r="R375" s="39"/>
      <c r="S375" s="93"/>
      <c r="T375" s="39"/>
      <c r="U375" s="39"/>
      <c r="V375" s="39"/>
      <c r="W375" s="44"/>
      <c r="X375" s="213"/>
      <c r="Y375" s="44"/>
      <c r="Z375" s="235"/>
      <c r="AA375" s="44"/>
      <c r="AB375" s="235"/>
      <c r="AC375" s="213"/>
      <c r="AD375" s="235"/>
      <c r="AE375" s="235"/>
      <c r="AF375" s="235"/>
      <c r="AG375" s="250"/>
      <c r="AH375" s="213"/>
      <c r="AI375" s="250"/>
      <c r="AJ375" s="47"/>
      <c r="AK375" s="120"/>
      <c r="AL375" s="47"/>
      <c r="AM375" s="43"/>
      <c r="AN375" s="47"/>
      <c r="AO375" s="43"/>
      <c r="AP375" s="43"/>
      <c r="AQ375" s="47"/>
      <c r="AR375" s="48"/>
      <c r="AS375" s="49"/>
    </row>
    <row r="376" spans="1:45" s="72" customFormat="1" ht="34.5" customHeight="1">
      <c r="B376" s="36"/>
      <c r="C376" s="340" t="s">
        <v>955</v>
      </c>
      <c r="D376" s="436">
        <f t="shared" ref="D376:J376" si="718">D377+D378</f>
        <v>2</v>
      </c>
      <c r="E376" s="54">
        <f t="shared" si="718"/>
        <v>0</v>
      </c>
      <c r="F376" s="54">
        <f t="shared" si="718"/>
        <v>0</v>
      </c>
      <c r="G376" s="54">
        <f t="shared" si="718"/>
        <v>2</v>
      </c>
      <c r="H376" s="54">
        <f t="shared" si="718"/>
        <v>12000</v>
      </c>
      <c r="I376" s="54">
        <f t="shared" si="718"/>
        <v>0</v>
      </c>
      <c r="J376" s="54">
        <f t="shared" si="718"/>
        <v>0</v>
      </c>
      <c r="K376" s="54">
        <f t="shared" ref="K376" si="719">K377+K378</f>
        <v>0</v>
      </c>
      <c r="L376" s="54">
        <f t="shared" ref="L376" si="720">L377+L378</f>
        <v>2</v>
      </c>
      <c r="M376" s="54">
        <f t="shared" ref="M376" si="721">M377+M378</f>
        <v>0</v>
      </c>
      <c r="N376" s="247"/>
      <c r="O376" s="247"/>
      <c r="P376" s="247"/>
      <c r="Q376" s="80"/>
      <c r="R376" s="80"/>
      <c r="S376" s="247"/>
      <c r="T376" s="80"/>
      <c r="U376" s="80"/>
      <c r="V376" s="80"/>
      <c r="W376" s="54">
        <f>W377+W378</f>
        <v>135653</v>
      </c>
      <c r="X376" s="214">
        <f t="shared" ref="X376:AP376" si="722">X377+X378</f>
        <v>0</v>
      </c>
      <c r="Y376" s="54">
        <f t="shared" si="722"/>
        <v>135653</v>
      </c>
      <c r="Z376" s="214">
        <f t="shared" si="722"/>
        <v>0</v>
      </c>
      <c r="AA376" s="54">
        <f t="shared" si="722"/>
        <v>85000</v>
      </c>
      <c r="AB376" s="214">
        <f t="shared" si="722"/>
        <v>0</v>
      </c>
      <c r="AC376" s="214">
        <f t="shared" si="722"/>
        <v>85000</v>
      </c>
      <c r="AD376" s="214">
        <f t="shared" si="722"/>
        <v>0</v>
      </c>
      <c r="AE376" s="214">
        <f t="shared" si="722"/>
        <v>0</v>
      </c>
      <c r="AF376" s="214">
        <f t="shared" si="722"/>
        <v>5000</v>
      </c>
      <c r="AG376" s="214">
        <f t="shared" si="722"/>
        <v>83000</v>
      </c>
      <c r="AH376" s="214">
        <f t="shared" si="722"/>
        <v>31989.837</v>
      </c>
      <c r="AI376" s="214">
        <f t="shared" si="722"/>
        <v>68000</v>
      </c>
      <c r="AJ376" s="54">
        <f t="shared" si="722"/>
        <v>73000</v>
      </c>
      <c r="AK376" s="214">
        <f t="shared" si="722"/>
        <v>12000</v>
      </c>
      <c r="AL376" s="54">
        <f t="shared" si="722"/>
        <v>12000</v>
      </c>
      <c r="AM376" s="54">
        <f t="shared" si="722"/>
        <v>0</v>
      </c>
      <c r="AN376" s="54">
        <f t="shared" si="722"/>
        <v>12000</v>
      </c>
      <c r="AO376" s="54">
        <f t="shared" si="722"/>
        <v>0</v>
      </c>
      <c r="AP376" s="54">
        <f t="shared" si="722"/>
        <v>0</v>
      </c>
      <c r="AQ376" s="334"/>
    </row>
    <row r="377" spans="1:45" s="50" customFormat="1" ht="49.5" customHeight="1">
      <c r="A377" s="50" t="s">
        <v>749</v>
      </c>
      <c r="B377" s="237">
        <v>1</v>
      </c>
      <c r="C377" s="102" t="s">
        <v>712</v>
      </c>
      <c r="D377" s="145">
        <v>1</v>
      </c>
      <c r="E377" s="251"/>
      <c r="F377" s="251"/>
      <c r="G377" s="251">
        <v>1</v>
      </c>
      <c r="H377" s="47">
        <f>G377*AL377</f>
        <v>8744</v>
      </c>
      <c r="I377" s="47"/>
      <c r="J377" s="47"/>
      <c r="K377" s="47"/>
      <c r="L377" s="47">
        <v>1</v>
      </c>
      <c r="M377" s="39"/>
      <c r="N377" s="93" t="s">
        <v>139</v>
      </c>
      <c r="O377" s="93" t="s">
        <v>713</v>
      </c>
      <c r="P377" s="93" t="s">
        <v>714</v>
      </c>
      <c r="Q377" s="103">
        <v>7878657</v>
      </c>
      <c r="R377" s="39"/>
      <c r="S377" s="93" t="s">
        <v>715</v>
      </c>
      <c r="T377" s="39" t="s">
        <v>114</v>
      </c>
      <c r="U377" s="39"/>
      <c r="V377" s="39" t="s">
        <v>716</v>
      </c>
      <c r="W377" s="84">
        <v>76068</v>
      </c>
      <c r="X377" s="213"/>
      <c r="Y377" s="84">
        <v>76068</v>
      </c>
      <c r="Z377" s="235"/>
      <c r="AA377" s="47">
        <f>AB377+AC377+AD377+AE377</f>
        <v>51744</v>
      </c>
      <c r="AB377" s="235"/>
      <c r="AC377" s="213">
        <v>51744</v>
      </c>
      <c r="AD377" s="235"/>
      <c r="AE377" s="235"/>
      <c r="AF377" s="120">
        <v>5000</v>
      </c>
      <c r="AG377" s="250">
        <v>38000</v>
      </c>
      <c r="AH377" s="294">
        <v>21645.837</v>
      </c>
      <c r="AI377" s="250">
        <v>38000</v>
      </c>
      <c r="AJ377" s="47">
        <f>AF377+AI377</f>
        <v>43000</v>
      </c>
      <c r="AK377" s="120">
        <v>8744</v>
      </c>
      <c r="AL377" s="47">
        <f t="shared" ref="AL377:AL380" si="723">AM377+AN377+AO377</f>
        <v>8744</v>
      </c>
      <c r="AM377" s="43"/>
      <c r="AN377" s="47">
        <v>8744</v>
      </c>
      <c r="AO377" s="43"/>
      <c r="AP377" s="43"/>
      <c r="AQ377" s="331"/>
    </row>
    <row r="378" spans="1:45" s="50" customFormat="1" ht="49.5" customHeight="1">
      <c r="A378" s="50" t="s">
        <v>749</v>
      </c>
      <c r="B378" s="237">
        <v>2</v>
      </c>
      <c r="C378" s="102" t="s">
        <v>719</v>
      </c>
      <c r="D378" s="145">
        <v>1</v>
      </c>
      <c r="E378" s="251"/>
      <c r="F378" s="251"/>
      <c r="G378" s="251">
        <v>1</v>
      </c>
      <c r="H378" s="47">
        <f>G378*AL378</f>
        <v>3256</v>
      </c>
      <c r="I378" s="47"/>
      <c r="J378" s="47"/>
      <c r="K378" s="47"/>
      <c r="L378" s="47">
        <v>1</v>
      </c>
      <c r="M378" s="39"/>
      <c r="N378" s="93" t="s">
        <v>139</v>
      </c>
      <c r="O378" s="93" t="s">
        <v>713</v>
      </c>
      <c r="P378" s="93" t="s">
        <v>714</v>
      </c>
      <c r="Q378" s="103">
        <v>7923958</v>
      </c>
      <c r="R378" s="39"/>
      <c r="S378" s="93" t="s">
        <v>717</v>
      </c>
      <c r="T378" s="135" t="s">
        <v>116</v>
      </c>
      <c r="U378" s="293" t="s">
        <v>718</v>
      </c>
      <c r="V378" s="295" t="s">
        <v>718</v>
      </c>
      <c r="W378" s="296">
        <v>59585</v>
      </c>
      <c r="X378" s="213"/>
      <c r="Y378" s="296">
        <v>59585</v>
      </c>
      <c r="Z378" s="235"/>
      <c r="AA378" s="44">
        <v>33256</v>
      </c>
      <c r="AB378" s="235"/>
      <c r="AC378" s="213">
        <v>33256</v>
      </c>
      <c r="AD378" s="235"/>
      <c r="AE378" s="235"/>
      <c r="AF378" s="235"/>
      <c r="AG378" s="250">
        <v>45000</v>
      </c>
      <c r="AH378" s="294">
        <v>10344</v>
      </c>
      <c r="AI378" s="250">
        <v>30000</v>
      </c>
      <c r="AJ378" s="47">
        <f>AF378+AI378</f>
        <v>30000</v>
      </c>
      <c r="AK378" s="120">
        <v>3256</v>
      </c>
      <c r="AL378" s="47">
        <f t="shared" si="723"/>
        <v>3256</v>
      </c>
      <c r="AM378" s="43"/>
      <c r="AN378" s="47">
        <v>3256</v>
      </c>
      <c r="AO378" s="43"/>
      <c r="AP378" s="43"/>
      <c r="AQ378" s="331"/>
    </row>
    <row r="379" spans="1:45" s="50" customFormat="1" ht="35.450000000000003" customHeight="1">
      <c r="B379" s="237"/>
      <c r="C379" s="340" t="s">
        <v>958</v>
      </c>
      <c r="D379" s="453">
        <f t="shared" ref="D379:J379" si="724">D380</f>
        <v>1</v>
      </c>
      <c r="E379" s="405">
        <f t="shared" si="724"/>
        <v>0</v>
      </c>
      <c r="F379" s="405">
        <f t="shared" si="724"/>
        <v>0</v>
      </c>
      <c r="G379" s="405">
        <f t="shared" si="724"/>
        <v>1</v>
      </c>
      <c r="H379" s="405">
        <f t="shared" si="724"/>
        <v>500</v>
      </c>
      <c r="I379" s="405">
        <f t="shared" si="724"/>
        <v>0</v>
      </c>
      <c r="J379" s="405">
        <f t="shared" si="724"/>
        <v>0</v>
      </c>
      <c r="K379" s="47"/>
      <c r="L379" s="47"/>
      <c r="M379" s="39"/>
      <c r="N379" s="93"/>
      <c r="O379" s="93"/>
      <c r="P379" s="93"/>
      <c r="Q379" s="103"/>
      <c r="R379" s="39"/>
      <c r="S379" s="93"/>
      <c r="T379" s="135"/>
      <c r="U379" s="293"/>
      <c r="V379" s="295"/>
      <c r="W379" s="405">
        <f>W380</f>
        <v>56626</v>
      </c>
      <c r="X379" s="213"/>
      <c r="Y379" s="405">
        <f t="shared" ref="Y379:AP379" si="725">Y380</f>
        <v>50000</v>
      </c>
      <c r="Z379" s="405">
        <f t="shared" si="725"/>
        <v>0</v>
      </c>
      <c r="AA379" s="405">
        <f t="shared" si="725"/>
        <v>50000</v>
      </c>
      <c r="AB379" s="421">
        <f t="shared" si="725"/>
        <v>0</v>
      </c>
      <c r="AC379" s="421">
        <f t="shared" si="725"/>
        <v>0</v>
      </c>
      <c r="AD379" s="421">
        <f t="shared" si="725"/>
        <v>0</v>
      </c>
      <c r="AE379" s="421">
        <f t="shared" si="725"/>
        <v>0</v>
      </c>
      <c r="AF379" s="421">
        <f t="shared" si="725"/>
        <v>15000</v>
      </c>
      <c r="AG379" s="421">
        <f t="shared" si="725"/>
        <v>0</v>
      </c>
      <c r="AH379" s="421">
        <f t="shared" si="725"/>
        <v>0</v>
      </c>
      <c r="AI379" s="421">
        <f t="shared" si="725"/>
        <v>33460</v>
      </c>
      <c r="AJ379" s="405">
        <f t="shared" si="725"/>
        <v>48460</v>
      </c>
      <c r="AK379" s="421">
        <f t="shared" si="725"/>
        <v>500</v>
      </c>
      <c r="AL379" s="405">
        <f t="shared" si="725"/>
        <v>500</v>
      </c>
      <c r="AM379" s="405">
        <f t="shared" si="725"/>
        <v>0</v>
      </c>
      <c r="AN379" s="405">
        <f t="shared" si="725"/>
        <v>500</v>
      </c>
      <c r="AO379" s="405">
        <f t="shared" si="725"/>
        <v>0</v>
      </c>
      <c r="AP379" s="405">
        <f t="shared" si="725"/>
        <v>0</v>
      </c>
      <c r="AQ379" s="331"/>
    </row>
    <row r="380" spans="1:45" s="50" customFormat="1" ht="50.45" customHeight="1">
      <c r="B380" s="237"/>
      <c r="C380" s="102" t="s">
        <v>1008</v>
      </c>
      <c r="D380" s="145">
        <v>1</v>
      </c>
      <c r="E380" s="251"/>
      <c r="F380" s="251"/>
      <c r="G380" s="251">
        <v>1</v>
      </c>
      <c r="H380" s="47">
        <f>G380*AL380</f>
        <v>500</v>
      </c>
      <c r="I380" s="47"/>
      <c r="J380" s="47"/>
      <c r="K380" s="47"/>
      <c r="L380" s="47"/>
      <c r="M380" s="39"/>
      <c r="N380" s="41" t="s">
        <v>192</v>
      </c>
      <c r="O380" s="41" t="s">
        <v>359</v>
      </c>
      <c r="P380" s="41" t="s">
        <v>360</v>
      </c>
      <c r="Q380" s="103">
        <v>7874346</v>
      </c>
      <c r="R380" s="39"/>
      <c r="S380" s="145" t="s">
        <v>1009</v>
      </c>
      <c r="T380" s="39" t="s">
        <v>114</v>
      </c>
      <c r="U380" s="293"/>
      <c r="V380" s="295" t="s">
        <v>1010</v>
      </c>
      <c r="W380" s="296">
        <v>56626</v>
      </c>
      <c r="X380" s="213"/>
      <c r="Y380" s="296">
        <v>50000</v>
      </c>
      <c r="Z380" s="235"/>
      <c r="AA380" s="44">
        <v>50000</v>
      </c>
      <c r="AB380" s="235"/>
      <c r="AC380" s="213"/>
      <c r="AD380" s="235"/>
      <c r="AE380" s="235"/>
      <c r="AF380" s="250">
        <v>15000</v>
      </c>
      <c r="AG380" s="250"/>
      <c r="AH380" s="250"/>
      <c r="AI380" s="250">
        <v>33460</v>
      </c>
      <c r="AJ380" s="68">
        <f>AF380+AI380</f>
        <v>48460</v>
      </c>
      <c r="AK380" s="120">
        <v>500</v>
      </c>
      <c r="AL380" s="47">
        <f t="shared" si="723"/>
        <v>500</v>
      </c>
      <c r="AM380" s="43"/>
      <c r="AN380" s="47">
        <v>500</v>
      </c>
      <c r="AO380" s="43"/>
      <c r="AP380" s="43"/>
      <c r="AQ380" s="331"/>
    </row>
    <row r="381" spans="1:45" s="50" customFormat="1">
      <c r="B381" s="237"/>
      <c r="C381" s="102"/>
      <c r="D381" s="145"/>
      <c r="E381" s="251"/>
      <c r="F381" s="251"/>
      <c r="G381" s="251"/>
      <c r="H381" s="47"/>
      <c r="I381" s="47"/>
      <c r="J381" s="47"/>
      <c r="K381" s="47"/>
      <c r="L381" s="47"/>
      <c r="M381" s="39"/>
      <c r="N381" s="93"/>
      <c r="O381" s="93"/>
      <c r="P381" s="93"/>
      <c r="Q381" s="103"/>
      <c r="R381" s="39"/>
      <c r="S381" s="93"/>
      <c r="T381" s="135"/>
      <c r="U381" s="293"/>
      <c r="V381" s="295"/>
      <c r="W381" s="296"/>
      <c r="X381" s="213"/>
      <c r="Y381" s="296"/>
      <c r="Z381" s="235"/>
      <c r="AA381" s="44"/>
      <c r="AB381" s="235"/>
      <c r="AC381" s="213"/>
      <c r="AD381" s="235"/>
      <c r="AE381" s="235"/>
      <c r="AF381" s="235"/>
      <c r="AG381" s="250"/>
      <c r="AH381" s="294"/>
      <c r="AI381" s="250"/>
      <c r="AJ381" s="47"/>
      <c r="AK381" s="120"/>
      <c r="AL381" s="47"/>
      <c r="AM381" s="43"/>
      <c r="AN381" s="47"/>
      <c r="AO381" s="43"/>
      <c r="AP381" s="43"/>
      <c r="AQ381" s="331"/>
    </row>
    <row r="382" spans="1:45" s="50" customFormat="1" ht="33.6" customHeight="1">
      <c r="B382" s="36" t="s">
        <v>603</v>
      </c>
      <c r="C382" s="340" t="s">
        <v>174</v>
      </c>
      <c r="D382" s="247">
        <f t="shared" ref="D382:M382" si="726">D383+D389</f>
        <v>5</v>
      </c>
      <c r="E382" s="43">
        <f t="shared" si="726"/>
        <v>0</v>
      </c>
      <c r="F382" s="43">
        <f t="shared" si="726"/>
        <v>0</v>
      </c>
      <c r="G382" s="43">
        <f t="shared" si="726"/>
        <v>0</v>
      </c>
      <c r="H382" s="43">
        <f t="shared" si="726"/>
        <v>0</v>
      </c>
      <c r="I382" s="43">
        <f t="shared" si="726"/>
        <v>5</v>
      </c>
      <c r="J382" s="43">
        <f t="shared" si="726"/>
        <v>64000</v>
      </c>
      <c r="K382" s="43" t="e">
        <f t="shared" si="726"/>
        <v>#REF!</v>
      </c>
      <c r="L382" s="43" t="e">
        <f t="shared" si="726"/>
        <v>#REF!</v>
      </c>
      <c r="M382" s="43" t="e">
        <f t="shared" si="726"/>
        <v>#REF!</v>
      </c>
      <c r="N382" s="39"/>
      <c r="O382" s="39"/>
      <c r="P382" s="39"/>
      <c r="Q382" s="39"/>
      <c r="R382" s="39"/>
      <c r="S382" s="39"/>
      <c r="T382" s="39"/>
      <c r="U382" s="39"/>
      <c r="V382" s="39"/>
      <c r="W382" s="43">
        <f t="shared" ref="W382:AP382" si="727">W383+W389</f>
        <v>401539</v>
      </c>
      <c r="X382" s="235" t="e">
        <f t="shared" si="727"/>
        <v>#REF!</v>
      </c>
      <c r="Y382" s="43">
        <f t="shared" si="727"/>
        <v>401539</v>
      </c>
      <c r="Z382" s="235">
        <f t="shared" si="727"/>
        <v>0</v>
      </c>
      <c r="AA382" s="43">
        <f t="shared" si="727"/>
        <v>220580</v>
      </c>
      <c r="AB382" s="235">
        <f t="shared" si="727"/>
        <v>0</v>
      </c>
      <c r="AC382" s="235">
        <f t="shared" si="727"/>
        <v>183580</v>
      </c>
      <c r="AD382" s="235">
        <f t="shared" si="727"/>
        <v>0</v>
      </c>
      <c r="AE382" s="235">
        <f t="shared" si="727"/>
        <v>0</v>
      </c>
      <c r="AF382" s="235">
        <f t="shared" si="727"/>
        <v>37000</v>
      </c>
      <c r="AG382" s="235">
        <f t="shared" si="727"/>
        <v>110000</v>
      </c>
      <c r="AH382" s="235">
        <f t="shared" si="727"/>
        <v>28642</v>
      </c>
      <c r="AI382" s="235">
        <f t="shared" si="727"/>
        <v>85216</v>
      </c>
      <c r="AJ382" s="43">
        <f t="shared" si="727"/>
        <v>122216</v>
      </c>
      <c r="AK382" s="235">
        <f t="shared" si="727"/>
        <v>64000</v>
      </c>
      <c r="AL382" s="43">
        <f t="shared" si="727"/>
        <v>64000</v>
      </c>
      <c r="AM382" s="43">
        <f t="shared" si="727"/>
        <v>0</v>
      </c>
      <c r="AN382" s="43">
        <f t="shared" si="727"/>
        <v>64000</v>
      </c>
      <c r="AO382" s="43">
        <f t="shared" si="727"/>
        <v>0</v>
      </c>
      <c r="AP382" s="43">
        <f t="shared" si="727"/>
        <v>0</v>
      </c>
      <c r="AQ382" s="47"/>
      <c r="AR382" s="48">
        <f t="shared" ref="AR382:AR388" si="728">AA382-(AF382+AI382+AL382)</f>
        <v>34364</v>
      </c>
      <c r="AS382" s="49" t="e">
        <f>#REF!-AL382</f>
        <v>#REF!</v>
      </c>
    </row>
    <row r="383" spans="1:45" s="133" customFormat="1" ht="18" customHeight="1">
      <c r="B383" s="129" t="s">
        <v>604</v>
      </c>
      <c r="C383" s="348" t="s">
        <v>107</v>
      </c>
      <c r="D383" s="439">
        <f t="shared" ref="D383:J383" si="729">D384+D386</f>
        <v>3</v>
      </c>
      <c r="E383" s="69">
        <f t="shared" si="729"/>
        <v>0</v>
      </c>
      <c r="F383" s="69">
        <f t="shared" si="729"/>
        <v>0</v>
      </c>
      <c r="G383" s="69">
        <f t="shared" si="729"/>
        <v>0</v>
      </c>
      <c r="H383" s="69">
        <f t="shared" si="729"/>
        <v>0</v>
      </c>
      <c r="I383" s="69">
        <f t="shared" si="729"/>
        <v>3</v>
      </c>
      <c r="J383" s="69">
        <f t="shared" si="729"/>
        <v>33000</v>
      </c>
      <c r="K383" s="69" t="e">
        <f t="shared" ref="K383:M383" si="730">K384+K386</f>
        <v>#REF!</v>
      </c>
      <c r="L383" s="69" t="e">
        <f t="shared" si="730"/>
        <v>#REF!</v>
      </c>
      <c r="M383" s="69" t="e">
        <f t="shared" si="730"/>
        <v>#REF!</v>
      </c>
      <c r="N383" s="122"/>
      <c r="O383" s="122"/>
      <c r="P383" s="122"/>
      <c r="Q383" s="122"/>
      <c r="R383" s="122"/>
      <c r="S383" s="122"/>
      <c r="T383" s="122"/>
      <c r="U383" s="122"/>
      <c r="V383" s="122"/>
      <c r="W383" s="69">
        <f>W384+W386</f>
        <v>280580</v>
      </c>
      <c r="X383" s="236" t="e">
        <f t="shared" ref="X383:AN383" si="731">X384+X386</f>
        <v>#REF!</v>
      </c>
      <c r="Y383" s="69">
        <f t="shared" si="731"/>
        <v>280580</v>
      </c>
      <c r="Z383" s="236">
        <f t="shared" si="731"/>
        <v>0</v>
      </c>
      <c r="AA383" s="69">
        <f t="shared" si="731"/>
        <v>153580</v>
      </c>
      <c r="AB383" s="236">
        <f t="shared" si="731"/>
        <v>0</v>
      </c>
      <c r="AC383" s="236">
        <f t="shared" si="731"/>
        <v>153580</v>
      </c>
      <c r="AD383" s="236">
        <f t="shared" si="731"/>
        <v>0</v>
      </c>
      <c r="AE383" s="236">
        <f t="shared" si="731"/>
        <v>0</v>
      </c>
      <c r="AF383" s="236">
        <f t="shared" si="731"/>
        <v>37000</v>
      </c>
      <c r="AG383" s="236">
        <f t="shared" si="731"/>
        <v>63000</v>
      </c>
      <c r="AH383" s="236">
        <f t="shared" si="731"/>
        <v>27000</v>
      </c>
      <c r="AI383" s="236">
        <f t="shared" si="731"/>
        <v>56216</v>
      </c>
      <c r="AJ383" s="69">
        <f t="shared" si="731"/>
        <v>93216</v>
      </c>
      <c r="AK383" s="236">
        <f t="shared" si="731"/>
        <v>33000</v>
      </c>
      <c r="AL383" s="69">
        <f t="shared" si="731"/>
        <v>33000</v>
      </c>
      <c r="AM383" s="69">
        <f t="shared" si="731"/>
        <v>0</v>
      </c>
      <c r="AN383" s="69">
        <f t="shared" si="731"/>
        <v>33000</v>
      </c>
      <c r="AO383" s="69">
        <f t="shared" ref="AO383:AP383" si="732">AO384+AO386</f>
        <v>0</v>
      </c>
      <c r="AP383" s="69">
        <f t="shared" si="732"/>
        <v>0</v>
      </c>
      <c r="AQ383" s="130"/>
      <c r="AR383" s="131">
        <f t="shared" si="728"/>
        <v>27364</v>
      </c>
      <c r="AS383" s="132" t="e">
        <f>#REF!-AL383</f>
        <v>#REF!</v>
      </c>
    </row>
    <row r="384" spans="1:45" s="50" customFormat="1" ht="36.950000000000003" customHeight="1">
      <c r="B384" s="36"/>
      <c r="C384" s="340" t="s">
        <v>956</v>
      </c>
      <c r="D384" s="247">
        <f t="shared" ref="D384:M384" si="733">D385</f>
        <v>1</v>
      </c>
      <c r="E384" s="43">
        <f t="shared" si="733"/>
        <v>0</v>
      </c>
      <c r="F384" s="43">
        <f t="shared" si="733"/>
        <v>0</v>
      </c>
      <c r="G384" s="43">
        <f t="shared" si="733"/>
        <v>0</v>
      </c>
      <c r="H384" s="43">
        <f t="shared" si="733"/>
        <v>0</v>
      </c>
      <c r="I384" s="43">
        <f t="shared" si="733"/>
        <v>1</v>
      </c>
      <c r="J384" s="43">
        <f t="shared" si="733"/>
        <v>20000</v>
      </c>
      <c r="K384" s="43">
        <f t="shared" si="733"/>
        <v>0</v>
      </c>
      <c r="L384" s="43">
        <f t="shared" si="733"/>
        <v>1</v>
      </c>
      <c r="M384" s="43">
        <f t="shared" si="733"/>
        <v>0</v>
      </c>
      <c r="N384" s="39"/>
      <c r="O384" s="39"/>
      <c r="P384" s="39"/>
      <c r="Q384" s="39"/>
      <c r="R384" s="39"/>
      <c r="S384" s="39"/>
      <c r="T384" s="39"/>
      <c r="U384" s="39"/>
      <c r="V384" s="39"/>
      <c r="W384" s="43">
        <f t="shared" ref="W384" si="734">W385</f>
        <v>116750</v>
      </c>
      <c r="X384" s="235">
        <f t="shared" ref="X384" si="735">X385</f>
        <v>0</v>
      </c>
      <c r="Y384" s="43">
        <f t="shared" ref="Y384" si="736">Y385</f>
        <v>116750</v>
      </c>
      <c r="Z384" s="235">
        <f t="shared" ref="Z384" si="737">Z385</f>
        <v>0</v>
      </c>
      <c r="AA384" s="43">
        <f t="shared" ref="AA384" si="738">AA385</f>
        <v>63580</v>
      </c>
      <c r="AB384" s="235">
        <f t="shared" ref="AB384" si="739">AB385</f>
        <v>0</v>
      </c>
      <c r="AC384" s="235">
        <f t="shared" ref="AC384" si="740">AC385</f>
        <v>63580</v>
      </c>
      <c r="AD384" s="235">
        <f t="shared" ref="AD384" si="741">AD385</f>
        <v>0</v>
      </c>
      <c r="AE384" s="235">
        <f t="shared" ref="AE384" si="742">AE385</f>
        <v>0</v>
      </c>
      <c r="AF384" s="235">
        <f t="shared" ref="AF384" si="743">AF385</f>
        <v>0</v>
      </c>
      <c r="AG384" s="235">
        <f t="shared" ref="AG384" si="744">AG385</f>
        <v>36000</v>
      </c>
      <c r="AH384" s="235">
        <f t="shared" ref="AH384" si="745">AH385</f>
        <v>0</v>
      </c>
      <c r="AI384" s="235">
        <f t="shared" ref="AI384:AJ384" si="746">AI385</f>
        <v>16216</v>
      </c>
      <c r="AJ384" s="43">
        <f t="shared" si="746"/>
        <v>16216</v>
      </c>
      <c r="AK384" s="235">
        <f t="shared" ref="AK384" si="747">AK385</f>
        <v>20000</v>
      </c>
      <c r="AL384" s="43">
        <f t="shared" ref="AL384" si="748">AL385</f>
        <v>20000</v>
      </c>
      <c r="AM384" s="43">
        <f t="shared" ref="AM384" si="749">AM385</f>
        <v>0</v>
      </c>
      <c r="AN384" s="43">
        <f t="shared" ref="AN384:AP384" si="750">AN385</f>
        <v>20000</v>
      </c>
      <c r="AO384" s="43">
        <f t="shared" si="750"/>
        <v>0</v>
      </c>
      <c r="AP384" s="43">
        <f t="shared" si="750"/>
        <v>0</v>
      </c>
      <c r="AQ384" s="47"/>
      <c r="AR384" s="48">
        <f t="shared" si="728"/>
        <v>27364</v>
      </c>
      <c r="AS384" s="49" t="e">
        <f>#REF!-AL384</f>
        <v>#REF!</v>
      </c>
    </row>
    <row r="385" spans="1:45" s="496" customFormat="1" ht="75.95" customHeight="1">
      <c r="A385" s="496" t="s">
        <v>749</v>
      </c>
      <c r="B385" s="488">
        <v>1</v>
      </c>
      <c r="C385" s="351" t="s">
        <v>1058</v>
      </c>
      <c r="D385" s="497">
        <v>1</v>
      </c>
      <c r="E385" s="492"/>
      <c r="F385" s="492"/>
      <c r="G385" s="492"/>
      <c r="H385" s="492"/>
      <c r="I385" s="492">
        <v>1</v>
      </c>
      <c r="J385" s="492">
        <f>I385*AL385</f>
        <v>20000</v>
      </c>
      <c r="K385" s="492"/>
      <c r="L385" s="492">
        <v>1</v>
      </c>
      <c r="M385" s="498"/>
      <c r="N385" s="337" t="s">
        <v>276</v>
      </c>
      <c r="O385" s="337" t="s">
        <v>294</v>
      </c>
      <c r="P385" s="337" t="s">
        <v>274</v>
      </c>
      <c r="Q385" s="337">
        <v>7934917</v>
      </c>
      <c r="R385" s="337"/>
      <c r="S385" s="497" t="s">
        <v>720</v>
      </c>
      <c r="T385" s="337" t="s">
        <v>115</v>
      </c>
      <c r="U385" s="337"/>
      <c r="V385" s="337" t="s">
        <v>301</v>
      </c>
      <c r="W385" s="495">
        <v>116750</v>
      </c>
      <c r="X385" s="495"/>
      <c r="Y385" s="495">
        <v>116750</v>
      </c>
      <c r="Z385" s="499"/>
      <c r="AA385" s="495">
        <v>63580</v>
      </c>
      <c r="AB385" s="499"/>
      <c r="AC385" s="495">
        <v>63580</v>
      </c>
      <c r="AD385" s="499"/>
      <c r="AE385" s="499"/>
      <c r="AF385" s="499"/>
      <c r="AG385" s="500">
        <v>36000</v>
      </c>
      <c r="AH385" s="499"/>
      <c r="AI385" s="500">
        <v>16216</v>
      </c>
      <c r="AJ385" s="492">
        <f>AF385+AI385</f>
        <v>16216</v>
      </c>
      <c r="AK385" s="500">
        <v>20000</v>
      </c>
      <c r="AL385" s="492">
        <f t="shared" ref="AL385" si="751">AM385+AN385+AO385</f>
        <v>20000</v>
      </c>
      <c r="AM385" s="500"/>
      <c r="AN385" s="500">
        <v>20000</v>
      </c>
      <c r="AO385" s="499"/>
      <c r="AP385" s="499"/>
      <c r="AQ385" s="492"/>
      <c r="AR385" s="501">
        <f t="shared" si="728"/>
        <v>27364</v>
      </c>
      <c r="AS385" s="502" t="e">
        <f>#REF!-AL385</f>
        <v>#REF!</v>
      </c>
    </row>
    <row r="386" spans="1:45" s="50" customFormat="1" ht="34.5" customHeight="1">
      <c r="B386" s="36"/>
      <c r="C386" s="340" t="s">
        <v>957</v>
      </c>
      <c r="D386" s="247">
        <f t="shared" ref="D386:J386" si="752">D387+D388</f>
        <v>2</v>
      </c>
      <c r="E386" s="43">
        <f t="shared" si="752"/>
        <v>0</v>
      </c>
      <c r="F386" s="43">
        <f t="shared" si="752"/>
        <v>0</v>
      </c>
      <c r="G386" s="43">
        <f t="shared" si="752"/>
        <v>0</v>
      </c>
      <c r="H386" s="43">
        <f t="shared" si="752"/>
        <v>0</v>
      </c>
      <c r="I386" s="43">
        <f t="shared" si="752"/>
        <v>2</v>
      </c>
      <c r="J386" s="43">
        <f t="shared" si="752"/>
        <v>13000</v>
      </c>
      <c r="K386" s="43" t="e">
        <f>K387+K388+#REF!</f>
        <v>#REF!</v>
      </c>
      <c r="L386" s="43" t="e">
        <f>L387+L388+#REF!</f>
        <v>#REF!</v>
      </c>
      <c r="M386" s="43" t="e">
        <f>M387+M388+#REF!</f>
        <v>#REF!</v>
      </c>
      <c r="N386" s="39"/>
      <c r="O386" s="39"/>
      <c r="P386" s="39"/>
      <c r="Q386" s="39"/>
      <c r="R386" s="39"/>
      <c r="S386" s="39"/>
      <c r="T386" s="39"/>
      <c r="U386" s="39"/>
      <c r="V386" s="39"/>
      <c r="W386" s="43">
        <f>W387+W388</f>
        <v>163830</v>
      </c>
      <c r="X386" s="235" t="e">
        <f>X387+X388+#REF!</f>
        <v>#REF!</v>
      </c>
      <c r="Y386" s="43">
        <f t="shared" ref="Y386:AP386" si="753">Y387+Y388</f>
        <v>163830</v>
      </c>
      <c r="Z386" s="43">
        <f t="shared" si="753"/>
        <v>0</v>
      </c>
      <c r="AA386" s="43">
        <f t="shared" si="753"/>
        <v>90000</v>
      </c>
      <c r="AB386" s="235">
        <f t="shared" si="753"/>
        <v>0</v>
      </c>
      <c r="AC386" s="235">
        <f t="shared" si="753"/>
        <v>90000</v>
      </c>
      <c r="AD386" s="235">
        <f t="shared" si="753"/>
        <v>0</v>
      </c>
      <c r="AE386" s="235">
        <f t="shared" si="753"/>
        <v>0</v>
      </c>
      <c r="AF386" s="235">
        <f t="shared" si="753"/>
        <v>37000</v>
      </c>
      <c r="AG386" s="235">
        <f t="shared" si="753"/>
        <v>27000</v>
      </c>
      <c r="AH386" s="235">
        <f t="shared" si="753"/>
        <v>27000</v>
      </c>
      <c r="AI386" s="235">
        <f t="shared" si="753"/>
        <v>40000</v>
      </c>
      <c r="AJ386" s="43">
        <f t="shared" si="753"/>
        <v>77000</v>
      </c>
      <c r="AK386" s="235">
        <f t="shared" si="753"/>
        <v>13000</v>
      </c>
      <c r="AL386" s="43">
        <f t="shared" si="753"/>
        <v>13000</v>
      </c>
      <c r="AM386" s="43">
        <f t="shared" si="753"/>
        <v>0</v>
      </c>
      <c r="AN386" s="43">
        <f t="shared" si="753"/>
        <v>13000</v>
      </c>
      <c r="AO386" s="43">
        <f t="shared" si="753"/>
        <v>0</v>
      </c>
      <c r="AP386" s="43">
        <f t="shared" si="753"/>
        <v>0</v>
      </c>
      <c r="AQ386" s="43"/>
      <c r="AR386" s="48">
        <f t="shared" si="728"/>
        <v>0</v>
      </c>
      <c r="AS386" s="49" t="e">
        <f>#REF!-AL386</f>
        <v>#REF!</v>
      </c>
    </row>
    <row r="387" spans="1:45" s="50" customFormat="1" ht="54.6" customHeight="1">
      <c r="A387" s="50" t="s">
        <v>749</v>
      </c>
      <c r="B387" s="237">
        <v>1</v>
      </c>
      <c r="C387" s="102" t="s">
        <v>437</v>
      </c>
      <c r="D387" s="93">
        <v>1</v>
      </c>
      <c r="E387" s="47"/>
      <c r="F387" s="47"/>
      <c r="G387" s="47"/>
      <c r="H387" s="47"/>
      <c r="I387" s="47">
        <v>1</v>
      </c>
      <c r="J387" s="47">
        <f>I387*AL387</f>
        <v>4000</v>
      </c>
      <c r="K387" s="47"/>
      <c r="L387" s="47">
        <v>1</v>
      </c>
      <c r="M387" s="88"/>
      <c r="N387" s="93" t="s">
        <v>141</v>
      </c>
      <c r="O387" s="93" t="s">
        <v>428</v>
      </c>
      <c r="P387" s="93" t="s">
        <v>439</v>
      </c>
      <c r="Q387" s="103">
        <v>7845008</v>
      </c>
      <c r="R387" s="93"/>
      <c r="S387" s="93" t="s">
        <v>440</v>
      </c>
      <c r="T387" s="39" t="s">
        <v>133</v>
      </c>
      <c r="U387" s="39"/>
      <c r="V387" s="39" t="s">
        <v>442</v>
      </c>
      <c r="W387" s="44">
        <v>82715</v>
      </c>
      <c r="X387" s="213"/>
      <c r="Y387" s="44">
        <v>82715</v>
      </c>
      <c r="Z387" s="235"/>
      <c r="AA387" s="44">
        <v>44000</v>
      </c>
      <c r="AB387" s="235"/>
      <c r="AC387" s="213">
        <v>44000</v>
      </c>
      <c r="AD387" s="235"/>
      <c r="AE387" s="235"/>
      <c r="AF387" s="213">
        <v>20000</v>
      </c>
      <c r="AG387" s="213">
        <v>12000</v>
      </c>
      <c r="AH387" s="213">
        <v>12000</v>
      </c>
      <c r="AI387" s="213">
        <v>20000</v>
      </c>
      <c r="AJ387" s="47">
        <f>AF387+AI387</f>
        <v>40000</v>
      </c>
      <c r="AK387" s="120">
        <v>4000</v>
      </c>
      <c r="AL387" s="47">
        <f t="shared" ref="AL387:AL388" si="754">AM387+AN387+AO387</f>
        <v>4000</v>
      </c>
      <c r="AM387" s="43"/>
      <c r="AN387" s="47">
        <v>4000</v>
      </c>
      <c r="AO387" s="43"/>
      <c r="AP387" s="43"/>
      <c r="AQ387" s="47"/>
      <c r="AR387" s="48">
        <f t="shared" si="728"/>
        <v>0</v>
      </c>
      <c r="AS387" s="49" t="e">
        <f>#REF!-AL387</f>
        <v>#REF!</v>
      </c>
    </row>
    <row r="388" spans="1:45" s="50" customFormat="1" ht="54.6" customHeight="1">
      <c r="A388" s="50" t="s">
        <v>749</v>
      </c>
      <c r="B388" s="237">
        <v>2</v>
      </c>
      <c r="C388" s="102" t="s">
        <v>438</v>
      </c>
      <c r="D388" s="93">
        <v>1</v>
      </c>
      <c r="E388" s="47"/>
      <c r="F388" s="47"/>
      <c r="G388" s="47"/>
      <c r="H388" s="47"/>
      <c r="I388" s="47">
        <v>1</v>
      </c>
      <c r="J388" s="47">
        <f>I388*AL388</f>
        <v>9000</v>
      </c>
      <c r="K388" s="47"/>
      <c r="L388" s="47">
        <v>1</v>
      </c>
      <c r="M388" s="88"/>
      <c r="N388" s="93" t="s">
        <v>141</v>
      </c>
      <c r="O388" s="93" t="s">
        <v>428</v>
      </c>
      <c r="P388" s="93" t="s">
        <v>439</v>
      </c>
      <c r="Q388" s="103">
        <v>7884375</v>
      </c>
      <c r="R388" s="93"/>
      <c r="S388" s="93" t="s">
        <v>441</v>
      </c>
      <c r="T388" s="39" t="s">
        <v>133</v>
      </c>
      <c r="U388" s="39"/>
      <c r="V388" s="39" t="s">
        <v>443</v>
      </c>
      <c r="W388" s="44">
        <v>81115</v>
      </c>
      <c r="X388" s="213"/>
      <c r="Y388" s="44">
        <v>81115</v>
      </c>
      <c r="Z388" s="235"/>
      <c r="AA388" s="44">
        <v>46000</v>
      </c>
      <c r="AB388" s="235"/>
      <c r="AC388" s="213">
        <v>46000</v>
      </c>
      <c r="AD388" s="235"/>
      <c r="AE388" s="235"/>
      <c r="AF388" s="213">
        <v>17000</v>
      </c>
      <c r="AG388" s="213">
        <v>15000</v>
      </c>
      <c r="AH388" s="213">
        <v>15000</v>
      </c>
      <c r="AI388" s="213">
        <v>20000</v>
      </c>
      <c r="AJ388" s="47">
        <f>AF388+AI388</f>
        <v>37000</v>
      </c>
      <c r="AK388" s="218">
        <v>9000</v>
      </c>
      <c r="AL388" s="47">
        <f t="shared" si="754"/>
        <v>9000</v>
      </c>
      <c r="AM388" s="43"/>
      <c r="AN388" s="47">
        <v>9000</v>
      </c>
      <c r="AO388" s="43"/>
      <c r="AP388" s="43"/>
      <c r="AQ388" s="47"/>
      <c r="AR388" s="48">
        <f t="shared" si="728"/>
        <v>0</v>
      </c>
      <c r="AS388" s="49" t="e">
        <f>#REF!-AL388</f>
        <v>#REF!</v>
      </c>
    </row>
    <row r="389" spans="1:45" s="299" customFormat="1" ht="24" customHeight="1">
      <c r="B389" s="300" t="s">
        <v>605</v>
      </c>
      <c r="C389" s="360" t="s">
        <v>119</v>
      </c>
      <c r="D389" s="454">
        <f t="shared" ref="D389:J389" si="755">D390+D392</f>
        <v>2</v>
      </c>
      <c r="E389" s="301">
        <f t="shared" si="755"/>
        <v>0</v>
      </c>
      <c r="F389" s="301">
        <f t="shared" si="755"/>
        <v>0</v>
      </c>
      <c r="G389" s="301">
        <f t="shared" si="755"/>
        <v>0</v>
      </c>
      <c r="H389" s="301">
        <f t="shared" si="755"/>
        <v>0</v>
      </c>
      <c r="I389" s="301">
        <f t="shared" si="755"/>
        <v>2</v>
      </c>
      <c r="J389" s="301">
        <f t="shared" si="755"/>
        <v>31000</v>
      </c>
      <c r="K389" s="301" t="e">
        <f>K390+#REF!</f>
        <v>#REF!</v>
      </c>
      <c r="L389" s="301" t="e">
        <f>L390+#REF!</f>
        <v>#REF!</v>
      </c>
      <c r="M389" s="301" t="e">
        <f>M390+#REF!</f>
        <v>#REF!</v>
      </c>
      <c r="N389" s="302"/>
      <c r="O389" s="302"/>
      <c r="P389" s="302"/>
      <c r="Q389" s="303"/>
      <c r="R389" s="302"/>
      <c r="S389" s="302"/>
      <c r="T389" s="304"/>
      <c r="U389" s="304"/>
      <c r="V389" s="304"/>
      <c r="W389" s="301">
        <f>W390+W392</f>
        <v>120959</v>
      </c>
      <c r="X389" s="305" t="e">
        <f>X390+#REF!</f>
        <v>#REF!</v>
      </c>
      <c r="Y389" s="301">
        <f t="shared" ref="Y389:AP389" si="756">Y390+Y392</f>
        <v>120959</v>
      </c>
      <c r="Z389" s="301">
        <f t="shared" si="756"/>
        <v>0</v>
      </c>
      <c r="AA389" s="301">
        <f t="shared" si="756"/>
        <v>67000</v>
      </c>
      <c r="AB389" s="305">
        <f t="shared" si="756"/>
        <v>0</v>
      </c>
      <c r="AC389" s="305">
        <f t="shared" si="756"/>
        <v>30000</v>
      </c>
      <c r="AD389" s="305">
        <f t="shared" si="756"/>
        <v>0</v>
      </c>
      <c r="AE389" s="305">
        <f t="shared" si="756"/>
        <v>0</v>
      </c>
      <c r="AF389" s="305">
        <f t="shared" si="756"/>
        <v>0</v>
      </c>
      <c r="AG389" s="305">
        <f t="shared" si="756"/>
        <v>47000</v>
      </c>
      <c r="AH389" s="305">
        <f t="shared" si="756"/>
        <v>1642</v>
      </c>
      <c r="AI389" s="305">
        <f t="shared" si="756"/>
        <v>29000</v>
      </c>
      <c r="AJ389" s="301">
        <f t="shared" si="756"/>
        <v>29000</v>
      </c>
      <c r="AK389" s="305">
        <f t="shared" si="756"/>
        <v>31000</v>
      </c>
      <c r="AL389" s="301">
        <f t="shared" si="756"/>
        <v>31000</v>
      </c>
      <c r="AM389" s="301">
        <f t="shared" si="756"/>
        <v>0</v>
      </c>
      <c r="AN389" s="301">
        <f t="shared" si="756"/>
        <v>31000</v>
      </c>
      <c r="AO389" s="301">
        <f t="shared" si="756"/>
        <v>0</v>
      </c>
      <c r="AP389" s="301">
        <f t="shared" si="756"/>
        <v>0</v>
      </c>
      <c r="AQ389" s="306"/>
      <c r="AR389" s="131"/>
      <c r="AS389" s="131" t="e">
        <f>#REF!-AL389</f>
        <v>#REF!</v>
      </c>
    </row>
    <row r="390" spans="1:45" s="72" customFormat="1" ht="36.6" customHeight="1">
      <c r="B390" s="335"/>
      <c r="C390" s="340" t="s">
        <v>958</v>
      </c>
      <c r="D390" s="127">
        <f t="shared" ref="D390:M390" si="757">D391</f>
        <v>1</v>
      </c>
      <c r="E390" s="56">
        <f t="shared" si="757"/>
        <v>0</v>
      </c>
      <c r="F390" s="56">
        <f t="shared" si="757"/>
        <v>0</v>
      </c>
      <c r="G390" s="56">
        <f t="shared" si="757"/>
        <v>0</v>
      </c>
      <c r="H390" s="56">
        <f t="shared" si="757"/>
        <v>0</v>
      </c>
      <c r="I390" s="56">
        <f t="shared" si="757"/>
        <v>1</v>
      </c>
      <c r="J390" s="56">
        <f t="shared" si="757"/>
        <v>13000</v>
      </c>
      <c r="K390" s="56">
        <f t="shared" si="757"/>
        <v>0</v>
      </c>
      <c r="L390" s="56">
        <f t="shared" si="757"/>
        <v>1</v>
      </c>
      <c r="M390" s="56">
        <f t="shared" si="757"/>
        <v>0</v>
      </c>
      <c r="N390" s="148"/>
      <c r="O390" s="148"/>
      <c r="P390" s="148"/>
      <c r="Q390" s="148"/>
      <c r="R390" s="148"/>
      <c r="S390" s="148"/>
      <c r="T390" s="148"/>
      <c r="U390" s="148"/>
      <c r="V390" s="148"/>
      <c r="W390" s="56">
        <f t="shared" ref="W390:AP390" si="758">W391</f>
        <v>52162</v>
      </c>
      <c r="X390" s="234">
        <f t="shared" si="758"/>
        <v>0</v>
      </c>
      <c r="Y390" s="56">
        <f t="shared" si="758"/>
        <v>52162</v>
      </c>
      <c r="Z390" s="234">
        <f t="shared" si="758"/>
        <v>0</v>
      </c>
      <c r="AA390" s="56">
        <f t="shared" si="758"/>
        <v>30000</v>
      </c>
      <c r="AB390" s="234">
        <f t="shared" si="758"/>
        <v>0</v>
      </c>
      <c r="AC390" s="234">
        <f t="shared" si="758"/>
        <v>30000</v>
      </c>
      <c r="AD390" s="234">
        <f t="shared" si="758"/>
        <v>0</v>
      </c>
      <c r="AE390" s="234">
        <f t="shared" si="758"/>
        <v>0</v>
      </c>
      <c r="AF390" s="234">
        <f t="shared" si="758"/>
        <v>0</v>
      </c>
      <c r="AG390" s="234">
        <f t="shared" si="758"/>
        <v>10000</v>
      </c>
      <c r="AH390" s="234">
        <f t="shared" si="758"/>
        <v>525</v>
      </c>
      <c r="AI390" s="234">
        <f t="shared" si="758"/>
        <v>10000</v>
      </c>
      <c r="AJ390" s="56">
        <f t="shared" si="758"/>
        <v>10000</v>
      </c>
      <c r="AK390" s="234">
        <f t="shared" si="758"/>
        <v>13000</v>
      </c>
      <c r="AL390" s="56">
        <f t="shared" si="758"/>
        <v>13000</v>
      </c>
      <c r="AM390" s="56">
        <f t="shared" si="758"/>
        <v>0</v>
      </c>
      <c r="AN390" s="56">
        <f t="shared" si="758"/>
        <v>13000</v>
      </c>
      <c r="AO390" s="56">
        <f t="shared" si="758"/>
        <v>0</v>
      </c>
      <c r="AP390" s="56">
        <f t="shared" si="758"/>
        <v>0</v>
      </c>
      <c r="AQ390" s="56"/>
      <c r="AR390" s="48">
        <f>AA390-(AF390+AI390+AL390)</f>
        <v>7000</v>
      </c>
      <c r="AS390" s="49" t="e">
        <f>#REF!-AL390</f>
        <v>#REF!</v>
      </c>
    </row>
    <row r="391" spans="1:45" s="73" customFormat="1" ht="48.6" customHeight="1">
      <c r="A391" s="50" t="s">
        <v>749</v>
      </c>
      <c r="B391" s="237">
        <v>1</v>
      </c>
      <c r="C391" s="345" t="s">
        <v>725</v>
      </c>
      <c r="D391" s="93">
        <v>1</v>
      </c>
      <c r="E391" s="47"/>
      <c r="F391" s="47"/>
      <c r="G391" s="47"/>
      <c r="H391" s="47"/>
      <c r="I391" s="47">
        <v>1</v>
      </c>
      <c r="J391" s="47">
        <f>I391*AL391</f>
        <v>13000</v>
      </c>
      <c r="K391" s="47"/>
      <c r="L391" s="47">
        <v>1</v>
      </c>
      <c r="M391" s="88"/>
      <c r="N391" s="41" t="s">
        <v>192</v>
      </c>
      <c r="O391" s="41" t="s">
        <v>359</v>
      </c>
      <c r="P391" s="41" t="s">
        <v>360</v>
      </c>
      <c r="Q391" s="39">
        <v>7897934</v>
      </c>
      <c r="R391" s="39"/>
      <c r="S391" s="96" t="s">
        <v>508</v>
      </c>
      <c r="T391" s="39" t="s">
        <v>133</v>
      </c>
      <c r="U391" s="39" t="s">
        <v>509</v>
      </c>
      <c r="V391" s="39" t="s">
        <v>510</v>
      </c>
      <c r="W391" s="44">
        <v>52162</v>
      </c>
      <c r="X391" s="213"/>
      <c r="Y391" s="44">
        <v>52162</v>
      </c>
      <c r="Z391" s="120"/>
      <c r="AA391" s="47">
        <f>AB391+AC391+AD391+AE391</f>
        <v>30000</v>
      </c>
      <c r="AB391" s="120"/>
      <c r="AC391" s="120">
        <v>30000</v>
      </c>
      <c r="AD391" s="120"/>
      <c r="AE391" s="120"/>
      <c r="AF391" s="120"/>
      <c r="AG391" s="120">
        <v>10000</v>
      </c>
      <c r="AH391" s="120">
        <v>525</v>
      </c>
      <c r="AI391" s="120">
        <v>10000</v>
      </c>
      <c r="AJ391" s="47">
        <f>AF391+AI391</f>
        <v>10000</v>
      </c>
      <c r="AK391" s="120">
        <v>13000</v>
      </c>
      <c r="AL391" s="47">
        <f t="shared" ref="AL391" si="759">AM391+AN391+AO391</f>
        <v>13000</v>
      </c>
      <c r="AM391" s="47"/>
      <c r="AN391" s="47">
        <v>13000</v>
      </c>
      <c r="AO391" s="47"/>
      <c r="AP391" s="47"/>
      <c r="AQ391" s="47"/>
      <c r="AR391" s="48">
        <f>AA391-(AF391+AI391+AL391)</f>
        <v>7000</v>
      </c>
      <c r="AS391" s="49" t="e">
        <f>#REF!-AL391</f>
        <v>#REF!</v>
      </c>
    </row>
    <row r="392" spans="1:45" s="73" customFormat="1" ht="28.5">
      <c r="A392" s="50"/>
      <c r="B392" s="237"/>
      <c r="C392" s="340" t="s">
        <v>957</v>
      </c>
      <c r="D392" s="436">
        <f t="shared" ref="D392:J392" si="760">D393</f>
        <v>1</v>
      </c>
      <c r="E392" s="54">
        <f t="shared" si="760"/>
        <v>0</v>
      </c>
      <c r="F392" s="54">
        <f t="shared" si="760"/>
        <v>0</v>
      </c>
      <c r="G392" s="54">
        <f t="shared" si="760"/>
        <v>0</v>
      </c>
      <c r="H392" s="54">
        <f t="shared" si="760"/>
        <v>0</v>
      </c>
      <c r="I392" s="54">
        <f t="shared" si="760"/>
        <v>1</v>
      </c>
      <c r="J392" s="54">
        <f t="shared" si="760"/>
        <v>18000</v>
      </c>
      <c r="K392" s="47"/>
      <c r="L392" s="47"/>
      <c r="M392" s="88"/>
      <c r="N392" s="41"/>
      <c r="O392" s="41"/>
      <c r="P392" s="41"/>
      <c r="Q392" s="39"/>
      <c r="R392" s="39"/>
      <c r="S392" s="96"/>
      <c r="T392" s="39"/>
      <c r="U392" s="39"/>
      <c r="V392" s="39"/>
      <c r="W392" s="54">
        <f>W393</f>
        <v>68797</v>
      </c>
      <c r="X392" s="213"/>
      <c r="Y392" s="54">
        <f t="shared" ref="Y392:AP392" si="761">Y393</f>
        <v>68797</v>
      </c>
      <c r="Z392" s="54">
        <f t="shared" si="761"/>
        <v>0</v>
      </c>
      <c r="AA392" s="54">
        <f t="shared" si="761"/>
        <v>37000</v>
      </c>
      <c r="AB392" s="214">
        <f t="shared" si="761"/>
        <v>0</v>
      </c>
      <c r="AC392" s="214">
        <f t="shared" si="761"/>
        <v>0</v>
      </c>
      <c r="AD392" s="214">
        <f t="shared" si="761"/>
        <v>0</v>
      </c>
      <c r="AE392" s="214">
        <f t="shared" si="761"/>
        <v>0</v>
      </c>
      <c r="AF392" s="214">
        <f t="shared" si="761"/>
        <v>0</v>
      </c>
      <c r="AG392" s="214">
        <f t="shared" si="761"/>
        <v>37000</v>
      </c>
      <c r="AH392" s="214">
        <f t="shared" si="761"/>
        <v>1117</v>
      </c>
      <c r="AI392" s="214">
        <f t="shared" si="761"/>
        <v>19000</v>
      </c>
      <c r="AJ392" s="54">
        <f t="shared" si="761"/>
        <v>19000</v>
      </c>
      <c r="AK392" s="214">
        <f t="shared" si="761"/>
        <v>18000</v>
      </c>
      <c r="AL392" s="54">
        <f t="shared" si="761"/>
        <v>18000</v>
      </c>
      <c r="AM392" s="54">
        <f t="shared" si="761"/>
        <v>0</v>
      </c>
      <c r="AN392" s="54">
        <f t="shared" si="761"/>
        <v>18000</v>
      </c>
      <c r="AO392" s="54">
        <f t="shared" si="761"/>
        <v>0</v>
      </c>
      <c r="AP392" s="54">
        <f t="shared" si="761"/>
        <v>0</v>
      </c>
      <c r="AQ392" s="47"/>
      <c r="AR392" s="48"/>
      <c r="AS392" s="49"/>
    </row>
    <row r="393" spans="1:45" s="50" customFormat="1" ht="62.1" customHeight="1">
      <c r="A393" s="50" t="s">
        <v>749</v>
      </c>
      <c r="B393" s="237">
        <v>1</v>
      </c>
      <c r="C393" s="102" t="s">
        <v>724</v>
      </c>
      <c r="D393" s="93">
        <v>1</v>
      </c>
      <c r="E393" s="47"/>
      <c r="F393" s="47"/>
      <c r="G393" s="47"/>
      <c r="H393" s="47"/>
      <c r="I393" s="47">
        <v>1</v>
      </c>
      <c r="J393" s="47">
        <f>I393*AL393</f>
        <v>18000</v>
      </c>
      <c r="K393" s="47"/>
      <c r="L393" s="47">
        <v>1</v>
      </c>
      <c r="M393" s="88"/>
      <c r="N393" s="93" t="s">
        <v>141</v>
      </c>
      <c r="O393" s="93" t="s">
        <v>428</v>
      </c>
      <c r="P393" s="93" t="s">
        <v>439</v>
      </c>
      <c r="Q393" s="103">
        <v>7938217</v>
      </c>
      <c r="R393" s="93"/>
      <c r="S393" s="93" t="s">
        <v>722</v>
      </c>
      <c r="T393" s="297" t="s">
        <v>115</v>
      </c>
      <c r="U393" s="295" t="s">
        <v>723</v>
      </c>
      <c r="V393" s="298" t="s">
        <v>723</v>
      </c>
      <c r="W393" s="44">
        <v>68797</v>
      </c>
      <c r="X393" s="213"/>
      <c r="Y393" s="44">
        <v>68797</v>
      </c>
      <c r="Z393" s="235"/>
      <c r="AA393" s="44">
        <v>37000</v>
      </c>
      <c r="AB393" s="235"/>
      <c r="AC393" s="213"/>
      <c r="AD393" s="235"/>
      <c r="AE393" s="235"/>
      <c r="AF393" s="213"/>
      <c r="AG393" s="213">
        <v>37000</v>
      </c>
      <c r="AH393" s="213">
        <v>1117</v>
      </c>
      <c r="AI393" s="213">
        <v>19000</v>
      </c>
      <c r="AJ393" s="47">
        <f>AF393+AI393</f>
        <v>19000</v>
      </c>
      <c r="AK393" s="218">
        <v>18000</v>
      </c>
      <c r="AL393" s="47">
        <f t="shared" ref="AL393" si="762">AM393+AN393+AO393</f>
        <v>18000</v>
      </c>
      <c r="AM393" s="43"/>
      <c r="AN393" s="47">
        <v>18000</v>
      </c>
      <c r="AO393" s="43"/>
      <c r="AP393" s="43"/>
      <c r="AQ393" s="331"/>
    </row>
    <row r="394" spans="1:45" s="50" customFormat="1" ht="36.950000000000003" customHeight="1">
      <c r="B394" s="36" t="s">
        <v>606</v>
      </c>
      <c r="C394" s="340" t="s">
        <v>120</v>
      </c>
      <c r="D394" s="247">
        <f t="shared" ref="D394:M394" si="763">D395</f>
        <v>5</v>
      </c>
      <c r="E394" s="43">
        <f t="shared" si="763"/>
        <v>5</v>
      </c>
      <c r="F394" s="43">
        <f t="shared" si="763"/>
        <v>85630</v>
      </c>
      <c r="G394" s="43">
        <f t="shared" si="763"/>
        <v>0</v>
      </c>
      <c r="H394" s="43">
        <f t="shared" si="763"/>
        <v>0</v>
      </c>
      <c r="I394" s="43">
        <f t="shared" si="763"/>
        <v>0</v>
      </c>
      <c r="J394" s="43">
        <f t="shared" si="763"/>
        <v>0</v>
      </c>
      <c r="K394" s="43">
        <f t="shared" si="763"/>
        <v>0</v>
      </c>
      <c r="L394" s="43">
        <f t="shared" si="763"/>
        <v>4</v>
      </c>
      <c r="M394" s="43">
        <f t="shared" si="763"/>
        <v>0</v>
      </c>
      <c r="N394" s="91"/>
      <c r="O394" s="39"/>
      <c r="P394" s="39"/>
      <c r="Q394" s="39"/>
      <c r="R394" s="39"/>
      <c r="S394" s="39"/>
      <c r="T394" s="39"/>
      <c r="U394" s="39"/>
      <c r="V394" s="39"/>
      <c r="W394" s="43">
        <f>W395</f>
        <v>299630</v>
      </c>
      <c r="X394" s="235">
        <f t="shared" ref="X394:AP394" si="764">X395</f>
        <v>0</v>
      </c>
      <c r="Y394" s="43">
        <f t="shared" si="764"/>
        <v>299630</v>
      </c>
      <c r="Z394" s="235">
        <f t="shared" si="764"/>
        <v>0</v>
      </c>
      <c r="AA394" s="43">
        <f t="shared" si="764"/>
        <v>107000</v>
      </c>
      <c r="AB394" s="235">
        <f t="shared" si="764"/>
        <v>0</v>
      </c>
      <c r="AC394" s="235">
        <f t="shared" si="764"/>
        <v>77000</v>
      </c>
      <c r="AD394" s="235">
        <f t="shared" si="764"/>
        <v>0</v>
      </c>
      <c r="AE394" s="235">
        <f t="shared" si="764"/>
        <v>0</v>
      </c>
      <c r="AF394" s="235">
        <f t="shared" si="764"/>
        <v>0</v>
      </c>
      <c r="AG394" s="235">
        <f t="shared" si="764"/>
        <v>0</v>
      </c>
      <c r="AH394" s="235">
        <f t="shared" si="764"/>
        <v>0</v>
      </c>
      <c r="AI394" s="235">
        <f t="shared" si="764"/>
        <v>0</v>
      </c>
      <c r="AJ394" s="43">
        <f t="shared" si="764"/>
        <v>0</v>
      </c>
      <c r="AK394" s="235">
        <f t="shared" si="764"/>
        <v>88000</v>
      </c>
      <c r="AL394" s="43">
        <f t="shared" si="764"/>
        <v>85630</v>
      </c>
      <c r="AM394" s="43">
        <f t="shared" si="764"/>
        <v>0</v>
      </c>
      <c r="AN394" s="43">
        <f t="shared" si="764"/>
        <v>85630</v>
      </c>
      <c r="AO394" s="43">
        <f t="shared" si="764"/>
        <v>0</v>
      </c>
      <c r="AP394" s="43">
        <f t="shared" si="764"/>
        <v>0</v>
      </c>
      <c r="AQ394" s="43"/>
      <c r="AR394" s="48">
        <f t="shared" ref="AR394:AR400" si="765">AA394-(AF394+AI394+AL394)</f>
        <v>21370</v>
      </c>
      <c r="AS394" s="49" t="e">
        <f>#REF!-AL394</f>
        <v>#REF!</v>
      </c>
    </row>
    <row r="395" spans="1:45" s="133" customFormat="1" ht="18" customHeight="1">
      <c r="B395" s="129" t="s">
        <v>607</v>
      </c>
      <c r="C395" s="348" t="s">
        <v>119</v>
      </c>
      <c r="D395" s="439">
        <f t="shared" ref="D395:J395" si="766">D396+D398+D401+D403</f>
        <v>5</v>
      </c>
      <c r="E395" s="69">
        <f t="shared" si="766"/>
        <v>5</v>
      </c>
      <c r="F395" s="69">
        <f t="shared" si="766"/>
        <v>85630</v>
      </c>
      <c r="G395" s="69">
        <f t="shared" si="766"/>
        <v>0</v>
      </c>
      <c r="H395" s="69">
        <f t="shared" si="766"/>
        <v>0</v>
      </c>
      <c r="I395" s="69">
        <f t="shared" si="766"/>
        <v>0</v>
      </c>
      <c r="J395" s="69">
        <f t="shared" si="766"/>
        <v>0</v>
      </c>
      <c r="K395" s="69">
        <f t="shared" ref="K395" si="767">K396+K398+K401</f>
        <v>0</v>
      </c>
      <c r="L395" s="69">
        <f t="shared" ref="L395" si="768">L396+L398+L401</f>
        <v>4</v>
      </c>
      <c r="M395" s="69">
        <f t="shared" ref="M395" si="769">M396+M398+M401</f>
        <v>0</v>
      </c>
      <c r="N395" s="122"/>
      <c r="O395" s="122"/>
      <c r="P395" s="122"/>
      <c r="Q395" s="122"/>
      <c r="R395" s="122"/>
      <c r="S395" s="122"/>
      <c r="T395" s="122"/>
      <c r="U395" s="122"/>
      <c r="V395" s="122"/>
      <c r="W395" s="69">
        <f>W396+W398+W401+W403</f>
        <v>299630</v>
      </c>
      <c r="X395" s="236">
        <f t="shared" ref="X395" si="770">X396+X398+X401</f>
        <v>0</v>
      </c>
      <c r="Y395" s="69">
        <f t="shared" ref="Y395:AP395" si="771">Y396+Y398+Y401+Y403</f>
        <v>299630</v>
      </c>
      <c r="Z395" s="69">
        <f t="shared" si="771"/>
        <v>0</v>
      </c>
      <c r="AA395" s="69">
        <f t="shared" si="771"/>
        <v>107000</v>
      </c>
      <c r="AB395" s="236">
        <f t="shared" si="771"/>
        <v>0</v>
      </c>
      <c r="AC395" s="236">
        <f t="shared" si="771"/>
        <v>77000</v>
      </c>
      <c r="AD395" s="236">
        <f t="shared" si="771"/>
        <v>0</v>
      </c>
      <c r="AE395" s="236">
        <f t="shared" si="771"/>
        <v>0</v>
      </c>
      <c r="AF395" s="236">
        <f t="shared" si="771"/>
        <v>0</v>
      </c>
      <c r="AG395" s="236">
        <f t="shared" si="771"/>
        <v>0</v>
      </c>
      <c r="AH395" s="236">
        <f t="shared" si="771"/>
        <v>0</v>
      </c>
      <c r="AI395" s="236">
        <f t="shared" si="771"/>
        <v>0</v>
      </c>
      <c r="AJ395" s="69">
        <f t="shared" si="771"/>
        <v>0</v>
      </c>
      <c r="AK395" s="236">
        <f t="shared" si="771"/>
        <v>88000</v>
      </c>
      <c r="AL395" s="69">
        <f t="shared" si="771"/>
        <v>85630</v>
      </c>
      <c r="AM395" s="69">
        <f t="shared" si="771"/>
        <v>0</v>
      </c>
      <c r="AN395" s="69">
        <f t="shared" si="771"/>
        <v>85630</v>
      </c>
      <c r="AO395" s="69">
        <f t="shared" si="771"/>
        <v>0</v>
      </c>
      <c r="AP395" s="69">
        <f t="shared" si="771"/>
        <v>0</v>
      </c>
      <c r="AQ395" s="69"/>
      <c r="AR395" s="131">
        <f t="shared" si="765"/>
        <v>21370</v>
      </c>
      <c r="AS395" s="132" t="e">
        <f>#REF!-AL395</f>
        <v>#REF!</v>
      </c>
    </row>
    <row r="396" spans="1:45" s="50" customFormat="1" ht="34.5" customHeight="1">
      <c r="B396" s="36"/>
      <c r="C396" s="340" t="s">
        <v>954</v>
      </c>
      <c r="D396" s="247">
        <f t="shared" ref="D396" si="772">SUM(D397:D397)</f>
        <v>1</v>
      </c>
      <c r="E396" s="43">
        <f t="shared" ref="E396" si="773">SUM(E397:E397)</f>
        <v>1</v>
      </c>
      <c r="F396" s="43">
        <f t="shared" ref="F396" si="774">SUM(F397:F397)</f>
        <v>3000</v>
      </c>
      <c r="G396" s="43">
        <f t="shared" ref="G396" si="775">SUM(G397:G397)</f>
        <v>0</v>
      </c>
      <c r="H396" s="43">
        <f t="shared" ref="H396" si="776">SUM(H397:H397)</f>
        <v>0</v>
      </c>
      <c r="I396" s="43">
        <f t="shared" ref="I396" si="777">SUM(I397:I397)</f>
        <v>0</v>
      </c>
      <c r="J396" s="43">
        <f t="shared" ref="J396" si="778">SUM(J397:J397)</f>
        <v>0</v>
      </c>
      <c r="K396" s="43">
        <f t="shared" ref="K396:M396" si="779">SUM(K397:K397)</f>
        <v>0</v>
      </c>
      <c r="L396" s="43">
        <f t="shared" si="779"/>
        <v>1</v>
      </c>
      <c r="M396" s="246">
        <f t="shared" si="779"/>
        <v>0</v>
      </c>
      <c r="N396" s="39"/>
      <c r="O396" s="39"/>
      <c r="P396" s="39"/>
      <c r="Q396" s="39"/>
      <c r="R396" s="39"/>
      <c r="S396" s="39"/>
      <c r="T396" s="39"/>
      <c r="U396" s="39"/>
      <c r="V396" s="39"/>
      <c r="W396" s="43">
        <f>W397</f>
        <v>26922</v>
      </c>
      <c r="X396" s="235">
        <f t="shared" ref="X396:AP396" si="780">X397</f>
        <v>0</v>
      </c>
      <c r="Y396" s="43">
        <f t="shared" si="780"/>
        <v>26922</v>
      </c>
      <c r="Z396" s="235">
        <f t="shared" si="780"/>
        <v>0</v>
      </c>
      <c r="AA396" s="43">
        <f t="shared" si="780"/>
        <v>22000</v>
      </c>
      <c r="AB396" s="235">
        <f t="shared" si="780"/>
        <v>0</v>
      </c>
      <c r="AC396" s="235">
        <f t="shared" si="780"/>
        <v>22000</v>
      </c>
      <c r="AD396" s="235">
        <f t="shared" si="780"/>
        <v>0</v>
      </c>
      <c r="AE396" s="235">
        <f t="shared" si="780"/>
        <v>0</v>
      </c>
      <c r="AF396" s="235">
        <f t="shared" si="780"/>
        <v>0</v>
      </c>
      <c r="AG396" s="235">
        <f t="shared" si="780"/>
        <v>0</v>
      </c>
      <c r="AH396" s="235">
        <f t="shared" si="780"/>
        <v>0</v>
      </c>
      <c r="AI396" s="235">
        <f t="shared" si="780"/>
        <v>0</v>
      </c>
      <c r="AJ396" s="43">
        <f t="shared" si="780"/>
        <v>0</v>
      </c>
      <c r="AK396" s="235">
        <f t="shared" si="780"/>
        <v>3000</v>
      </c>
      <c r="AL396" s="43">
        <f t="shared" si="780"/>
        <v>3000</v>
      </c>
      <c r="AM396" s="43">
        <f t="shared" si="780"/>
        <v>0</v>
      </c>
      <c r="AN396" s="43">
        <f t="shared" si="780"/>
        <v>3000</v>
      </c>
      <c r="AO396" s="43">
        <f t="shared" si="780"/>
        <v>0</v>
      </c>
      <c r="AP396" s="43">
        <f t="shared" si="780"/>
        <v>0</v>
      </c>
      <c r="AQ396" s="43"/>
      <c r="AR396" s="48">
        <f t="shared" si="765"/>
        <v>19000</v>
      </c>
      <c r="AS396" s="49" t="e">
        <f>#REF!-AL396</f>
        <v>#REF!</v>
      </c>
    </row>
    <row r="397" spans="1:45" s="73" customFormat="1" ht="51.95" customHeight="1">
      <c r="A397" s="50" t="s">
        <v>749</v>
      </c>
      <c r="B397" s="237">
        <v>1</v>
      </c>
      <c r="C397" s="125" t="s">
        <v>727</v>
      </c>
      <c r="D397" s="93">
        <v>1</v>
      </c>
      <c r="E397" s="47">
        <v>1</v>
      </c>
      <c r="F397" s="47">
        <f>E397*AL397</f>
        <v>3000</v>
      </c>
      <c r="G397" s="47"/>
      <c r="H397" s="47"/>
      <c r="I397" s="47"/>
      <c r="J397" s="47"/>
      <c r="K397" s="47"/>
      <c r="L397" s="47">
        <v>1</v>
      </c>
      <c r="M397" s="47"/>
      <c r="N397" s="93" t="s">
        <v>161</v>
      </c>
      <c r="O397" s="93" t="s">
        <v>362</v>
      </c>
      <c r="P397" s="93" t="s">
        <v>363</v>
      </c>
      <c r="Q397" s="39">
        <v>7921575</v>
      </c>
      <c r="R397" s="39"/>
      <c r="S397" s="93" t="s">
        <v>1021</v>
      </c>
      <c r="T397" s="39" t="s">
        <v>235</v>
      </c>
      <c r="U397" s="39" t="s">
        <v>506</v>
      </c>
      <c r="V397" s="39" t="s">
        <v>507</v>
      </c>
      <c r="W397" s="44">
        <v>26922</v>
      </c>
      <c r="X397" s="213"/>
      <c r="Y397" s="44">
        <v>26922</v>
      </c>
      <c r="Z397" s="120"/>
      <c r="AA397" s="47">
        <f>AB397+AC397+AD397+AE397</f>
        <v>22000</v>
      </c>
      <c r="AB397" s="120"/>
      <c r="AC397" s="120">
        <v>22000</v>
      </c>
      <c r="AD397" s="120"/>
      <c r="AE397" s="120"/>
      <c r="AF397" s="120"/>
      <c r="AG397" s="120"/>
      <c r="AH397" s="120"/>
      <c r="AI397" s="120"/>
      <c r="AJ397" s="47">
        <f>AF397+AI397</f>
        <v>0</v>
      </c>
      <c r="AK397" s="120">
        <v>3000</v>
      </c>
      <c r="AL397" s="47">
        <f t="shared" ref="AL397" si="781">AM397+AN397+AO397</f>
        <v>3000</v>
      </c>
      <c r="AM397" s="47"/>
      <c r="AN397" s="47">
        <v>3000</v>
      </c>
      <c r="AO397" s="47"/>
      <c r="AP397" s="47"/>
      <c r="AQ397" s="47"/>
      <c r="AR397" s="48">
        <f t="shared" si="765"/>
        <v>19000</v>
      </c>
      <c r="AS397" s="49" t="e">
        <f>#REF!-AL397</f>
        <v>#REF!</v>
      </c>
    </row>
    <row r="398" spans="1:45" s="50" customFormat="1" ht="36.950000000000003" customHeight="1">
      <c r="B398" s="36"/>
      <c r="C398" s="340" t="s">
        <v>958</v>
      </c>
      <c r="D398" s="247">
        <f t="shared" ref="D398:M398" si="782">SUM(D399:D400)</f>
        <v>2</v>
      </c>
      <c r="E398" s="43">
        <f t="shared" si="782"/>
        <v>2</v>
      </c>
      <c r="F398" s="43">
        <f t="shared" si="782"/>
        <v>34630</v>
      </c>
      <c r="G398" s="43">
        <f t="shared" si="782"/>
        <v>0</v>
      </c>
      <c r="H398" s="43">
        <f t="shared" si="782"/>
        <v>0</v>
      </c>
      <c r="I398" s="43">
        <f t="shared" si="782"/>
        <v>0</v>
      </c>
      <c r="J398" s="43">
        <f t="shared" si="782"/>
        <v>0</v>
      </c>
      <c r="K398" s="43">
        <f t="shared" si="782"/>
        <v>0</v>
      </c>
      <c r="L398" s="43">
        <f t="shared" si="782"/>
        <v>2</v>
      </c>
      <c r="M398" s="43">
        <f t="shared" si="782"/>
        <v>0</v>
      </c>
      <c r="N398" s="39"/>
      <c r="O398" s="39"/>
      <c r="P398" s="39"/>
      <c r="Q398" s="39"/>
      <c r="R398" s="39"/>
      <c r="S398" s="39"/>
      <c r="T398" s="39"/>
      <c r="U398" s="39"/>
      <c r="V398" s="39"/>
      <c r="W398" s="43">
        <f>W399+W400</f>
        <v>154232</v>
      </c>
      <c r="X398" s="235">
        <f t="shared" ref="X398:AP398" si="783">X399+X400</f>
        <v>0</v>
      </c>
      <c r="Y398" s="43">
        <f t="shared" si="783"/>
        <v>154232</v>
      </c>
      <c r="Z398" s="235">
        <f t="shared" si="783"/>
        <v>0</v>
      </c>
      <c r="AA398" s="43">
        <f t="shared" si="783"/>
        <v>37000</v>
      </c>
      <c r="AB398" s="235">
        <f t="shared" si="783"/>
        <v>0</v>
      </c>
      <c r="AC398" s="235">
        <f t="shared" si="783"/>
        <v>37000</v>
      </c>
      <c r="AD398" s="235">
        <f t="shared" si="783"/>
        <v>0</v>
      </c>
      <c r="AE398" s="235">
        <f t="shared" si="783"/>
        <v>0</v>
      </c>
      <c r="AF398" s="235">
        <f t="shared" si="783"/>
        <v>0</v>
      </c>
      <c r="AG398" s="235">
        <f t="shared" si="783"/>
        <v>0</v>
      </c>
      <c r="AH398" s="235">
        <f t="shared" si="783"/>
        <v>0</v>
      </c>
      <c r="AI398" s="235">
        <f t="shared" si="783"/>
        <v>0</v>
      </c>
      <c r="AJ398" s="43">
        <f t="shared" si="783"/>
        <v>0</v>
      </c>
      <c r="AK398" s="235">
        <f t="shared" si="783"/>
        <v>37000</v>
      </c>
      <c r="AL398" s="43">
        <f t="shared" si="783"/>
        <v>34630</v>
      </c>
      <c r="AM398" s="43">
        <f t="shared" si="783"/>
        <v>0</v>
      </c>
      <c r="AN398" s="43">
        <f t="shared" si="783"/>
        <v>34630</v>
      </c>
      <c r="AO398" s="43">
        <f t="shared" si="783"/>
        <v>0</v>
      </c>
      <c r="AP398" s="43">
        <f t="shared" si="783"/>
        <v>0</v>
      </c>
      <c r="AQ398" s="47"/>
      <c r="AR398" s="48">
        <f t="shared" si="765"/>
        <v>2370</v>
      </c>
      <c r="AS398" s="49" t="e">
        <f>#REF!-AL398</f>
        <v>#REF!</v>
      </c>
    </row>
    <row r="399" spans="1:45" s="73" customFormat="1" ht="56.45" customHeight="1">
      <c r="A399" s="50" t="s">
        <v>749</v>
      </c>
      <c r="B399" s="237">
        <v>1</v>
      </c>
      <c r="C399" s="345" t="s">
        <v>728</v>
      </c>
      <c r="D399" s="93">
        <v>1</v>
      </c>
      <c r="E399" s="47">
        <v>1</v>
      </c>
      <c r="F399" s="47">
        <f>E399*AL399</f>
        <v>24630</v>
      </c>
      <c r="G399" s="47"/>
      <c r="H399" s="47"/>
      <c r="I399" s="47"/>
      <c r="J399" s="47"/>
      <c r="K399" s="47"/>
      <c r="L399" s="47">
        <v>1</v>
      </c>
      <c r="M399" s="88"/>
      <c r="N399" s="41" t="s">
        <v>192</v>
      </c>
      <c r="O399" s="41" t="s">
        <v>359</v>
      </c>
      <c r="P399" s="41" t="s">
        <v>360</v>
      </c>
      <c r="Q399" s="39">
        <v>7898011</v>
      </c>
      <c r="R399" s="39"/>
      <c r="S399" s="93" t="s">
        <v>511</v>
      </c>
      <c r="T399" s="39" t="s">
        <v>115</v>
      </c>
      <c r="U399" s="39" t="s">
        <v>512</v>
      </c>
      <c r="V399" s="39" t="s">
        <v>513</v>
      </c>
      <c r="W399" s="47">
        <v>79523</v>
      </c>
      <c r="X399" s="120"/>
      <c r="Y399" s="47">
        <v>79523</v>
      </c>
      <c r="Z399" s="120"/>
      <c r="AA399" s="47">
        <v>27000</v>
      </c>
      <c r="AB399" s="120"/>
      <c r="AC399" s="120">
        <v>27000</v>
      </c>
      <c r="AD399" s="120"/>
      <c r="AE399" s="120"/>
      <c r="AF399" s="120"/>
      <c r="AG399" s="120"/>
      <c r="AH399" s="120"/>
      <c r="AI399" s="120"/>
      <c r="AJ399" s="47">
        <f>AF399+AI399</f>
        <v>0</v>
      </c>
      <c r="AK399" s="120">
        <v>27000</v>
      </c>
      <c r="AL399" s="47">
        <f t="shared" ref="AL399:AL400" si="784">AM399+AN399+AO399</f>
        <v>24630</v>
      </c>
      <c r="AM399" s="47"/>
      <c r="AN399" s="47">
        <v>24630</v>
      </c>
      <c r="AO399" s="47"/>
      <c r="AP399" s="47"/>
      <c r="AQ399" s="47"/>
      <c r="AR399" s="48">
        <f t="shared" si="765"/>
        <v>2370</v>
      </c>
      <c r="AS399" s="49" t="e">
        <f>#REF!-AL399</f>
        <v>#REF!</v>
      </c>
    </row>
    <row r="400" spans="1:45" s="73" customFormat="1" ht="57.6" customHeight="1">
      <c r="A400" s="50" t="s">
        <v>749</v>
      </c>
      <c r="B400" s="237">
        <v>2</v>
      </c>
      <c r="C400" s="345" t="s">
        <v>729</v>
      </c>
      <c r="D400" s="93">
        <v>1</v>
      </c>
      <c r="E400" s="47">
        <v>1</v>
      </c>
      <c r="F400" s="47">
        <f>E400*AL400</f>
        <v>10000</v>
      </c>
      <c r="G400" s="47"/>
      <c r="H400" s="47"/>
      <c r="I400" s="47"/>
      <c r="J400" s="47"/>
      <c r="K400" s="47"/>
      <c r="L400" s="47">
        <v>1</v>
      </c>
      <c r="M400" s="88"/>
      <c r="N400" s="41" t="s">
        <v>192</v>
      </c>
      <c r="O400" s="41" t="s">
        <v>359</v>
      </c>
      <c r="P400" s="41" t="s">
        <v>360</v>
      </c>
      <c r="Q400" s="39">
        <v>7897933</v>
      </c>
      <c r="R400" s="39"/>
      <c r="S400" s="93" t="s">
        <v>514</v>
      </c>
      <c r="T400" s="39" t="s">
        <v>115</v>
      </c>
      <c r="U400" s="39" t="s">
        <v>515</v>
      </c>
      <c r="V400" s="39" t="s">
        <v>516</v>
      </c>
      <c r="W400" s="47">
        <v>74709</v>
      </c>
      <c r="X400" s="120"/>
      <c r="Y400" s="47">
        <v>74709</v>
      </c>
      <c r="Z400" s="120"/>
      <c r="AA400" s="47">
        <f>AB400+AC400+AD400+AE400</f>
        <v>10000</v>
      </c>
      <c r="AB400" s="120"/>
      <c r="AC400" s="120">
        <v>10000</v>
      </c>
      <c r="AD400" s="120"/>
      <c r="AE400" s="120"/>
      <c r="AF400" s="120"/>
      <c r="AG400" s="120"/>
      <c r="AH400" s="120"/>
      <c r="AI400" s="120"/>
      <c r="AJ400" s="47">
        <f>AF400+AI400</f>
        <v>0</v>
      </c>
      <c r="AK400" s="120">
        <v>10000</v>
      </c>
      <c r="AL400" s="47">
        <f t="shared" si="784"/>
        <v>10000</v>
      </c>
      <c r="AM400" s="47"/>
      <c r="AN400" s="47">
        <v>10000</v>
      </c>
      <c r="AO400" s="47"/>
      <c r="AP400" s="47"/>
      <c r="AQ400" s="47"/>
      <c r="AR400" s="48">
        <f t="shared" si="765"/>
        <v>0</v>
      </c>
      <c r="AS400" s="49" t="e">
        <f>#REF!-AL400</f>
        <v>#REF!</v>
      </c>
    </row>
    <row r="401" spans="1:45" s="307" customFormat="1" ht="33" customHeight="1">
      <c r="B401" s="36"/>
      <c r="C401" s="340" t="s">
        <v>955</v>
      </c>
      <c r="D401" s="247">
        <f t="shared" ref="D401:M401" si="785">D402</f>
        <v>1</v>
      </c>
      <c r="E401" s="43">
        <f t="shared" si="785"/>
        <v>1</v>
      </c>
      <c r="F401" s="43">
        <f t="shared" si="785"/>
        <v>30000</v>
      </c>
      <c r="G401" s="43">
        <f t="shared" si="785"/>
        <v>0</v>
      </c>
      <c r="H401" s="43">
        <f t="shared" si="785"/>
        <v>0</v>
      </c>
      <c r="I401" s="43">
        <f t="shared" si="785"/>
        <v>0</v>
      </c>
      <c r="J401" s="43">
        <f t="shared" si="785"/>
        <v>0</v>
      </c>
      <c r="K401" s="43">
        <f t="shared" si="785"/>
        <v>0</v>
      </c>
      <c r="L401" s="43">
        <f t="shared" si="785"/>
        <v>1</v>
      </c>
      <c r="M401" s="43">
        <f t="shared" si="785"/>
        <v>0</v>
      </c>
      <c r="N401" s="308"/>
      <c r="O401" s="308"/>
      <c r="P401" s="308"/>
      <c r="Q401" s="80"/>
      <c r="R401" s="80"/>
      <c r="S401" s="128"/>
      <c r="T401" s="80"/>
      <c r="U401" s="80"/>
      <c r="V401" s="80"/>
      <c r="W401" s="43">
        <f>W402</f>
        <v>40239</v>
      </c>
      <c r="X401" s="235">
        <f t="shared" ref="X401:AO401" si="786">X402</f>
        <v>0</v>
      </c>
      <c r="Y401" s="43">
        <f t="shared" si="786"/>
        <v>40239</v>
      </c>
      <c r="Z401" s="235">
        <f t="shared" si="786"/>
        <v>0</v>
      </c>
      <c r="AA401" s="43">
        <f t="shared" si="786"/>
        <v>30000</v>
      </c>
      <c r="AB401" s="235">
        <f t="shared" si="786"/>
        <v>0</v>
      </c>
      <c r="AC401" s="235">
        <f t="shared" si="786"/>
        <v>0</v>
      </c>
      <c r="AD401" s="235">
        <f t="shared" si="786"/>
        <v>0</v>
      </c>
      <c r="AE401" s="235">
        <f t="shared" si="786"/>
        <v>0</v>
      </c>
      <c r="AF401" s="235">
        <f t="shared" si="786"/>
        <v>0</v>
      </c>
      <c r="AG401" s="235">
        <f t="shared" si="786"/>
        <v>0</v>
      </c>
      <c r="AH401" s="235">
        <f t="shared" si="786"/>
        <v>0</v>
      </c>
      <c r="AI401" s="235">
        <f t="shared" si="786"/>
        <v>0</v>
      </c>
      <c r="AJ401" s="43">
        <f t="shared" si="786"/>
        <v>0</v>
      </c>
      <c r="AK401" s="235">
        <f t="shared" si="786"/>
        <v>30000</v>
      </c>
      <c r="AL401" s="43">
        <f t="shared" si="786"/>
        <v>30000</v>
      </c>
      <c r="AM401" s="43">
        <f t="shared" si="786"/>
        <v>0</v>
      </c>
      <c r="AN401" s="43">
        <f t="shared" si="786"/>
        <v>30000</v>
      </c>
      <c r="AO401" s="43">
        <f t="shared" si="786"/>
        <v>0</v>
      </c>
      <c r="AP401" s="43"/>
      <c r="AQ401" s="334"/>
    </row>
    <row r="402" spans="1:45" s="73" customFormat="1" ht="57.6" customHeight="1">
      <c r="A402" s="50" t="s">
        <v>749</v>
      </c>
      <c r="B402" s="237">
        <v>1</v>
      </c>
      <c r="C402" s="345" t="s">
        <v>734</v>
      </c>
      <c r="D402" s="159">
        <v>1</v>
      </c>
      <c r="E402" s="119">
        <v>1</v>
      </c>
      <c r="F402" s="47">
        <f>E402*AL402</f>
        <v>30000</v>
      </c>
      <c r="G402" s="119"/>
      <c r="H402" s="119"/>
      <c r="I402" s="47"/>
      <c r="J402" s="47"/>
      <c r="K402" s="47"/>
      <c r="L402" s="47">
        <v>1</v>
      </c>
      <c r="M402" s="39"/>
      <c r="N402" s="41" t="s">
        <v>730</v>
      </c>
      <c r="O402" s="41" t="s">
        <v>731</v>
      </c>
      <c r="P402" s="41" t="s">
        <v>384</v>
      </c>
      <c r="Q402" s="39">
        <v>7923562</v>
      </c>
      <c r="R402" s="39"/>
      <c r="S402" s="93" t="s">
        <v>732</v>
      </c>
      <c r="T402" s="39" t="s">
        <v>115</v>
      </c>
      <c r="U402" s="39"/>
      <c r="V402" s="39" t="s">
        <v>733</v>
      </c>
      <c r="W402" s="47">
        <v>40239</v>
      </c>
      <c r="X402" s="120"/>
      <c r="Y402" s="47">
        <v>40239</v>
      </c>
      <c r="Z402" s="120"/>
      <c r="AA402" s="47">
        <v>30000</v>
      </c>
      <c r="AB402" s="120"/>
      <c r="AC402" s="120"/>
      <c r="AD402" s="120"/>
      <c r="AE402" s="120"/>
      <c r="AF402" s="120"/>
      <c r="AG402" s="120"/>
      <c r="AH402" s="120"/>
      <c r="AI402" s="120"/>
      <c r="AJ402" s="47"/>
      <c r="AK402" s="120">
        <v>30000</v>
      </c>
      <c r="AL402" s="47">
        <f t="shared" ref="AL402" si="787">AM402+AN402+AO402</f>
        <v>30000</v>
      </c>
      <c r="AM402" s="47"/>
      <c r="AN402" s="47">
        <v>30000</v>
      </c>
      <c r="AO402" s="47"/>
      <c r="AP402" s="47"/>
      <c r="AQ402" s="331"/>
    </row>
    <row r="403" spans="1:45" s="50" customFormat="1" ht="35.450000000000003" customHeight="1">
      <c r="B403" s="36"/>
      <c r="C403" s="340" t="s">
        <v>959</v>
      </c>
      <c r="D403" s="247">
        <f t="shared" ref="D403:M403" si="788">D404</f>
        <v>1</v>
      </c>
      <c r="E403" s="43">
        <f t="shared" si="788"/>
        <v>1</v>
      </c>
      <c r="F403" s="43">
        <f t="shared" si="788"/>
        <v>18000</v>
      </c>
      <c r="G403" s="43">
        <f t="shared" si="788"/>
        <v>0</v>
      </c>
      <c r="H403" s="43">
        <f t="shared" si="788"/>
        <v>0</v>
      </c>
      <c r="I403" s="43">
        <f t="shared" si="788"/>
        <v>0</v>
      </c>
      <c r="J403" s="43">
        <f t="shared" si="788"/>
        <v>0</v>
      </c>
      <c r="K403" s="43">
        <f t="shared" si="788"/>
        <v>0</v>
      </c>
      <c r="L403" s="43">
        <f t="shared" si="788"/>
        <v>1</v>
      </c>
      <c r="M403" s="246">
        <f t="shared" si="788"/>
        <v>0</v>
      </c>
      <c r="N403" s="39"/>
      <c r="O403" s="39"/>
      <c r="P403" s="39"/>
      <c r="Q403" s="39"/>
      <c r="R403" s="39"/>
      <c r="S403" s="39"/>
      <c r="T403" s="39"/>
      <c r="U403" s="39"/>
      <c r="V403" s="39"/>
      <c r="W403" s="43">
        <f t="shared" ref="W403:AO403" si="789">W404</f>
        <v>78237</v>
      </c>
      <c r="X403" s="235">
        <f t="shared" si="789"/>
        <v>0</v>
      </c>
      <c r="Y403" s="43">
        <f t="shared" si="789"/>
        <v>78237</v>
      </c>
      <c r="Z403" s="235">
        <f t="shared" si="789"/>
        <v>0</v>
      </c>
      <c r="AA403" s="43">
        <f t="shared" si="789"/>
        <v>18000</v>
      </c>
      <c r="AB403" s="235">
        <f t="shared" si="789"/>
        <v>0</v>
      </c>
      <c r="AC403" s="235">
        <f t="shared" si="789"/>
        <v>18000</v>
      </c>
      <c r="AD403" s="235">
        <f t="shared" si="789"/>
        <v>0</v>
      </c>
      <c r="AE403" s="235">
        <f t="shared" si="789"/>
        <v>0</v>
      </c>
      <c r="AF403" s="235">
        <f t="shared" si="789"/>
        <v>0</v>
      </c>
      <c r="AG403" s="235">
        <f t="shared" si="789"/>
        <v>0</v>
      </c>
      <c r="AH403" s="235">
        <f t="shared" si="789"/>
        <v>0</v>
      </c>
      <c r="AI403" s="235">
        <f t="shared" si="789"/>
        <v>0</v>
      </c>
      <c r="AJ403" s="43">
        <f t="shared" si="789"/>
        <v>0</v>
      </c>
      <c r="AK403" s="235">
        <f t="shared" si="789"/>
        <v>18000</v>
      </c>
      <c r="AL403" s="43">
        <f t="shared" si="789"/>
        <v>18000</v>
      </c>
      <c r="AM403" s="43">
        <f t="shared" si="789"/>
        <v>0</v>
      </c>
      <c r="AN403" s="43">
        <f t="shared" si="789"/>
        <v>18000</v>
      </c>
      <c r="AO403" s="43">
        <f t="shared" si="789"/>
        <v>0</v>
      </c>
      <c r="AP403" s="43"/>
      <c r="AQ403" s="47"/>
      <c r="AR403" s="48">
        <f t="shared" ref="AR403:AR419" si="790">AA403-(AF403+AI403+AL403)</f>
        <v>0</v>
      </c>
      <c r="AS403" s="49" t="e">
        <f>#REF!-AL403</f>
        <v>#REF!</v>
      </c>
    </row>
    <row r="404" spans="1:45" s="73" customFormat="1" ht="63" customHeight="1">
      <c r="A404" s="50" t="s">
        <v>749</v>
      </c>
      <c r="B404" s="237">
        <v>1</v>
      </c>
      <c r="C404" s="345" t="s">
        <v>726</v>
      </c>
      <c r="D404" s="93">
        <v>1</v>
      </c>
      <c r="E404" s="119">
        <v>1</v>
      </c>
      <c r="F404" s="47">
        <f>E404*AL404</f>
        <v>18000</v>
      </c>
      <c r="G404" s="47"/>
      <c r="H404" s="47"/>
      <c r="I404" s="47"/>
      <c r="J404" s="47"/>
      <c r="K404" s="47"/>
      <c r="L404" s="47">
        <v>1</v>
      </c>
      <c r="M404" s="88"/>
      <c r="N404" s="39" t="s">
        <v>213</v>
      </c>
      <c r="O404" s="39" t="s">
        <v>252</v>
      </c>
      <c r="P404" s="41" t="s">
        <v>253</v>
      </c>
      <c r="Q404" s="39">
        <v>7912458</v>
      </c>
      <c r="R404" s="39"/>
      <c r="S404" s="39" t="s">
        <v>503</v>
      </c>
      <c r="T404" s="39" t="s">
        <v>116</v>
      </c>
      <c r="U404" s="39" t="s">
        <v>504</v>
      </c>
      <c r="V404" s="39" t="s">
        <v>505</v>
      </c>
      <c r="W404" s="47">
        <v>78237</v>
      </c>
      <c r="X404" s="120"/>
      <c r="Y404" s="47">
        <v>78237</v>
      </c>
      <c r="Z404" s="120"/>
      <c r="AA404" s="47">
        <f>AB404+AC404+AD404+AE404</f>
        <v>18000</v>
      </c>
      <c r="AB404" s="120"/>
      <c r="AC404" s="120">
        <v>18000</v>
      </c>
      <c r="AD404" s="120"/>
      <c r="AE404" s="120"/>
      <c r="AF404" s="120"/>
      <c r="AG404" s="120"/>
      <c r="AH404" s="120"/>
      <c r="AI404" s="120"/>
      <c r="AJ404" s="47">
        <f>AF404+AI404</f>
        <v>0</v>
      </c>
      <c r="AK404" s="120">
        <v>18000</v>
      </c>
      <c r="AL404" s="47">
        <f t="shared" ref="AL404" si="791">AM404+AN404+AO404</f>
        <v>18000</v>
      </c>
      <c r="AM404" s="47"/>
      <c r="AN404" s="47">
        <v>18000</v>
      </c>
      <c r="AO404" s="47"/>
      <c r="AP404" s="47"/>
      <c r="AQ404" s="47"/>
      <c r="AR404" s="49">
        <f t="shared" si="790"/>
        <v>0</v>
      </c>
      <c r="AS404" s="49" t="e">
        <f>#REF!-AL404</f>
        <v>#REF!</v>
      </c>
    </row>
    <row r="405" spans="1:45">
      <c r="B405" s="144"/>
      <c r="C405" s="359"/>
      <c r="D405" s="38"/>
      <c r="E405" s="68"/>
      <c r="F405" s="68"/>
      <c r="G405" s="68"/>
      <c r="H405" s="68"/>
      <c r="I405" s="68"/>
      <c r="J405" s="68"/>
      <c r="K405" s="68"/>
      <c r="L405" s="68"/>
      <c r="M405" s="252"/>
      <c r="N405" s="40"/>
      <c r="O405" s="40"/>
      <c r="P405" s="40"/>
      <c r="Q405" s="40"/>
      <c r="R405" s="40"/>
      <c r="S405" s="40"/>
      <c r="T405" s="144"/>
      <c r="U405" s="144"/>
      <c r="V405" s="144"/>
      <c r="W405" s="70"/>
      <c r="X405" s="288"/>
      <c r="Y405" s="70"/>
      <c r="Z405" s="288"/>
      <c r="AA405" s="70"/>
      <c r="AB405" s="288"/>
      <c r="AC405" s="288"/>
      <c r="AD405" s="288"/>
      <c r="AE405" s="288"/>
      <c r="AF405" s="288"/>
      <c r="AG405" s="288"/>
      <c r="AH405" s="288"/>
      <c r="AI405" s="288"/>
      <c r="AJ405" s="70"/>
      <c r="AK405" s="288"/>
      <c r="AL405" s="70"/>
      <c r="AM405" s="70"/>
      <c r="AN405" s="70"/>
      <c r="AO405" s="70"/>
      <c r="AP405" s="70"/>
      <c r="AQ405" s="70"/>
      <c r="AR405" s="48">
        <f t="shared" si="790"/>
        <v>0</v>
      </c>
      <c r="AS405" s="49" t="e">
        <f>#REF!-AL405</f>
        <v>#REF!</v>
      </c>
    </row>
    <row r="406" spans="1:45" s="72" customFormat="1" ht="36.950000000000003" customHeight="1">
      <c r="B406" s="36" t="s">
        <v>873</v>
      </c>
      <c r="C406" s="349" t="s">
        <v>60</v>
      </c>
      <c r="D406" s="247">
        <f t="shared" ref="D406:D408" si="792">D407</f>
        <v>1</v>
      </c>
      <c r="E406" s="43">
        <f t="shared" ref="E406:E408" si="793">E407</f>
        <v>1</v>
      </c>
      <c r="F406" s="43">
        <f t="shared" ref="F406:F408" si="794">F407</f>
        <v>100000</v>
      </c>
      <c r="G406" s="43">
        <f t="shared" ref="G406:G408" si="795">G407</f>
        <v>0</v>
      </c>
      <c r="H406" s="43">
        <f t="shared" ref="H406:H408" si="796">H407</f>
        <v>0</v>
      </c>
      <c r="I406" s="43">
        <f t="shared" ref="I406:I408" si="797">I407</f>
        <v>0</v>
      </c>
      <c r="J406" s="43">
        <f t="shared" ref="J406:J408" si="798">J407</f>
        <v>0</v>
      </c>
      <c r="K406" s="43">
        <f t="shared" ref="K406:K408" si="799">K407</f>
        <v>0</v>
      </c>
      <c r="L406" s="43">
        <f t="shared" ref="L406:L408" si="800">L407</f>
        <v>1</v>
      </c>
      <c r="M406" s="43">
        <f t="shared" ref="M406:M408" si="801">M407</f>
        <v>0</v>
      </c>
      <c r="N406" s="80"/>
      <c r="O406" s="80"/>
      <c r="P406" s="80"/>
      <c r="Q406" s="80"/>
      <c r="R406" s="80"/>
      <c r="S406" s="80"/>
      <c r="T406" s="80"/>
      <c r="U406" s="80"/>
      <c r="V406" s="80"/>
      <c r="W406" s="43">
        <f t="shared" ref="W406:W408" si="802">W407</f>
        <v>393116</v>
      </c>
      <c r="X406" s="235">
        <f t="shared" ref="X406:X408" si="803">X407</f>
        <v>200000</v>
      </c>
      <c r="Y406" s="43">
        <f t="shared" ref="Y406:Y408" si="804">Y407</f>
        <v>354000</v>
      </c>
      <c r="Z406" s="235">
        <f t="shared" ref="Z406:Z408" si="805">Z407</f>
        <v>0</v>
      </c>
      <c r="AA406" s="43">
        <f t="shared" ref="AA406:AA408" si="806">AA407</f>
        <v>304000</v>
      </c>
      <c r="AB406" s="235">
        <f t="shared" ref="AB406:AB408" si="807">AB407</f>
        <v>154000</v>
      </c>
      <c r="AC406" s="235">
        <f t="shared" ref="AC406:AC408" si="808">AC407</f>
        <v>0</v>
      </c>
      <c r="AD406" s="235">
        <f t="shared" ref="AD406:AD408" si="809">AD407</f>
        <v>150000</v>
      </c>
      <c r="AE406" s="235">
        <f t="shared" ref="AE406:AE408" si="810">AE407</f>
        <v>0</v>
      </c>
      <c r="AF406" s="235">
        <f t="shared" ref="AF406:AF408" si="811">AF407</f>
        <v>742.60699999999997</v>
      </c>
      <c r="AG406" s="235">
        <f t="shared" ref="AG406:AG408" si="812">AG407</f>
        <v>4000</v>
      </c>
      <c r="AH406" s="235">
        <f t="shared" ref="AH406:AH408" si="813">AH407</f>
        <v>0</v>
      </c>
      <c r="AI406" s="235">
        <f t="shared" ref="AI406:AJ408" si="814">AI407</f>
        <v>3000</v>
      </c>
      <c r="AJ406" s="43">
        <f t="shared" si="814"/>
        <v>3742.607</v>
      </c>
      <c r="AK406" s="235">
        <f t="shared" ref="AK406:AK408" si="815">AK407</f>
        <v>168974</v>
      </c>
      <c r="AL406" s="43">
        <f t="shared" ref="AL406:AL408" si="816">AL407</f>
        <v>100000</v>
      </c>
      <c r="AM406" s="43">
        <f t="shared" ref="AM406:AM408" si="817">AM407</f>
        <v>0</v>
      </c>
      <c r="AN406" s="43">
        <f t="shared" ref="AN406:AN408" si="818">AN407</f>
        <v>0</v>
      </c>
      <c r="AO406" s="43">
        <f t="shared" ref="AO406:AO408" si="819">AO407</f>
        <v>100000</v>
      </c>
      <c r="AP406" s="43"/>
      <c r="AQ406" s="43"/>
      <c r="AR406" s="48">
        <f t="shared" si="790"/>
        <v>200257.39299999998</v>
      </c>
      <c r="AS406" s="49" t="e">
        <f>#REF!-AL406</f>
        <v>#REF!</v>
      </c>
    </row>
    <row r="407" spans="1:45" s="50" customFormat="1" ht="39.6" customHeight="1">
      <c r="B407" s="36" t="s">
        <v>50</v>
      </c>
      <c r="C407" s="340" t="s">
        <v>120</v>
      </c>
      <c r="D407" s="247">
        <f t="shared" si="792"/>
        <v>1</v>
      </c>
      <c r="E407" s="43">
        <f t="shared" si="793"/>
        <v>1</v>
      </c>
      <c r="F407" s="43">
        <f t="shared" si="794"/>
        <v>100000</v>
      </c>
      <c r="G407" s="43">
        <f t="shared" si="795"/>
        <v>0</v>
      </c>
      <c r="H407" s="43">
        <f t="shared" si="796"/>
        <v>0</v>
      </c>
      <c r="I407" s="43">
        <f t="shared" si="797"/>
        <v>0</v>
      </c>
      <c r="J407" s="43">
        <f t="shared" si="798"/>
        <v>0</v>
      </c>
      <c r="K407" s="43">
        <f t="shared" si="799"/>
        <v>0</v>
      </c>
      <c r="L407" s="43">
        <f t="shared" si="800"/>
        <v>1</v>
      </c>
      <c r="M407" s="43">
        <f t="shared" si="801"/>
        <v>0</v>
      </c>
      <c r="N407" s="39"/>
      <c r="O407" s="39"/>
      <c r="P407" s="39"/>
      <c r="Q407" s="39"/>
      <c r="R407" s="39"/>
      <c r="S407" s="39"/>
      <c r="T407" s="39"/>
      <c r="U407" s="39"/>
      <c r="V407" s="39"/>
      <c r="W407" s="43">
        <f t="shared" si="802"/>
        <v>393116</v>
      </c>
      <c r="X407" s="235">
        <f t="shared" si="803"/>
        <v>200000</v>
      </c>
      <c r="Y407" s="43">
        <f t="shared" si="804"/>
        <v>354000</v>
      </c>
      <c r="Z407" s="235">
        <f t="shared" si="805"/>
        <v>0</v>
      </c>
      <c r="AA407" s="43">
        <f t="shared" si="806"/>
        <v>304000</v>
      </c>
      <c r="AB407" s="235">
        <f t="shared" si="807"/>
        <v>154000</v>
      </c>
      <c r="AC407" s="235">
        <f t="shared" si="808"/>
        <v>0</v>
      </c>
      <c r="AD407" s="235">
        <f t="shared" si="809"/>
        <v>150000</v>
      </c>
      <c r="AE407" s="235">
        <f t="shared" si="810"/>
        <v>0</v>
      </c>
      <c r="AF407" s="235">
        <f t="shared" si="811"/>
        <v>742.60699999999997</v>
      </c>
      <c r="AG407" s="235">
        <f t="shared" si="812"/>
        <v>4000</v>
      </c>
      <c r="AH407" s="235">
        <f t="shared" si="813"/>
        <v>0</v>
      </c>
      <c r="AI407" s="235">
        <f t="shared" si="814"/>
        <v>3000</v>
      </c>
      <c r="AJ407" s="43">
        <f t="shared" si="814"/>
        <v>3742.607</v>
      </c>
      <c r="AK407" s="235">
        <f t="shared" si="815"/>
        <v>168974</v>
      </c>
      <c r="AL407" s="43">
        <f t="shared" si="816"/>
        <v>100000</v>
      </c>
      <c r="AM407" s="43">
        <f t="shared" si="817"/>
        <v>0</v>
      </c>
      <c r="AN407" s="43">
        <f t="shared" si="818"/>
        <v>0</v>
      </c>
      <c r="AO407" s="43">
        <f t="shared" si="819"/>
        <v>100000</v>
      </c>
      <c r="AP407" s="43"/>
      <c r="AQ407" s="47"/>
      <c r="AR407" s="48">
        <f t="shared" si="790"/>
        <v>200257.39299999998</v>
      </c>
      <c r="AS407" s="49" t="e">
        <f>#REF!-AL407</f>
        <v>#REF!</v>
      </c>
    </row>
    <row r="408" spans="1:45" s="133" customFormat="1" ht="27" customHeight="1">
      <c r="B408" s="129" t="s">
        <v>106</v>
      </c>
      <c r="C408" s="348" t="s">
        <v>107</v>
      </c>
      <c r="D408" s="439">
        <f t="shared" si="792"/>
        <v>1</v>
      </c>
      <c r="E408" s="69">
        <f t="shared" si="793"/>
        <v>1</v>
      </c>
      <c r="F408" s="69">
        <f t="shared" si="794"/>
        <v>100000</v>
      </c>
      <c r="G408" s="69">
        <f t="shared" si="795"/>
        <v>0</v>
      </c>
      <c r="H408" s="69">
        <f t="shared" si="796"/>
        <v>0</v>
      </c>
      <c r="I408" s="69">
        <f t="shared" si="797"/>
        <v>0</v>
      </c>
      <c r="J408" s="69">
        <f t="shared" si="798"/>
        <v>0</v>
      </c>
      <c r="K408" s="69">
        <f t="shared" si="799"/>
        <v>0</v>
      </c>
      <c r="L408" s="69">
        <f t="shared" si="800"/>
        <v>1</v>
      </c>
      <c r="M408" s="69">
        <f t="shared" si="801"/>
        <v>0</v>
      </c>
      <c r="N408" s="122"/>
      <c r="O408" s="122"/>
      <c r="P408" s="122"/>
      <c r="Q408" s="122"/>
      <c r="R408" s="122"/>
      <c r="S408" s="122"/>
      <c r="T408" s="122"/>
      <c r="U408" s="122"/>
      <c r="V408" s="122"/>
      <c r="W408" s="69">
        <f t="shared" si="802"/>
        <v>393116</v>
      </c>
      <c r="X408" s="236">
        <f t="shared" si="803"/>
        <v>200000</v>
      </c>
      <c r="Y408" s="69">
        <f t="shared" si="804"/>
        <v>354000</v>
      </c>
      <c r="Z408" s="236">
        <f t="shared" si="805"/>
        <v>0</v>
      </c>
      <c r="AA408" s="69">
        <f t="shared" si="806"/>
        <v>304000</v>
      </c>
      <c r="AB408" s="236">
        <f t="shared" si="807"/>
        <v>154000</v>
      </c>
      <c r="AC408" s="236">
        <f t="shared" si="808"/>
        <v>0</v>
      </c>
      <c r="AD408" s="236">
        <f t="shared" si="809"/>
        <v>150000</v>
      </c>
      <c r="AE408" s="236">
        <f t="shared" si="810"/>
        <v>0</v>
      </c>
      <c r="AF408" s="236">
        <f t="shared" si="811"/>
        <v>742.60699999999997</v>
      </c>
      <c r="AG408" s="236">
        <f t="shared" si="812"/>
        <v>4000</v>
      </c>
      <c r="AH408" s="236">
        <f t="shared" si="813"/>
        <v>0</v>
      </c>
      <c r="AI408" s="236">
        <f t="shared" si="814"/>
        <v>3000</v>
      </c>
      <c r="AJ408" s="69">
        <f t="shared" si="814"/>
        <v>3742.607</v>
      </c>
      <c r="AK408" s="236">
        <f t="shared" si="815"/>
        <v>168974</v>
      </c>
      <c r="AL408" s="69">
        <f t="shared" si="816"/>
        <v>100000</v>
      </c>
      <c r="AM408" s="69">
        <f t="shared" si="817"/>
        <v>0</v>
      </c>
      <c r="AN408" s="69">
        <f t="shared" si="818"/>
        <v>0</v>
      </c>
      <c r="AO408" s="69">
        <f t="shared" si="819"/>
        <v>100000</v>
      </c>
      <c r="AP408" s="69"/>
      <c r="AQ408" s="130"/>
      <c r="AR408" s="131">
        <f t="shared" si="790"/>
        <v>200257.39299999998</v>
      </c>
      <c r="AS408" s="132" t="e">
        <f>#REF!-AL408</f>
        <v>#REF!</v>
      </c>
    </row>
    <row r="409" spans="1:45" s="50" customFormat="1" ht="69" customHeight="1">
      <c r="A409" s="50" t="s">
        <v>104</v>
      </c>
      <c r="B409" s="237">
        <v>1</v>
      </c>
      <c r="C409" s="345" t="s">
        <v>609</v>
      </c>
      <c r="D409" s="93">
        <v>1</v>
      </c>
      <c r="E409" s="47">
        <v>1</v>
      </c>
      <c r="F409" s="47">
        <f>E409*AL409</f>
        <v>100000</v>
      </c>
      <c r="G409" s="47"/>
      <c r="H409" s="47"/>
      <c r="I409" s="47"/>
      <c r="J409" s="47"/>
      <c r="K409" s="47"/>
      <c r="L409" s="47">
        <v>1</v>
      </c>
      <c r="M409" s="88"/>
      <c r="N409" s="39" t="s">
        <v>784</v>
      </c>
      <c r="O409" s="39" t="s">
        <v>109</v>
      </c>
      <c r="P409" s="93" t="s">
        <v>219</v>
      </c>
      <c r="Q409" s="39">
        <v>7911909</v>
      </c>
      <c r="R409" s="94"/>
      <c r="S409" s="90" t="s">
        <v>613</v>
      </c>
      <c r="T409" s="41" t="s">
        <v>113</v>
      </c>
      <c r="U409" s="39"/>
      <c r="V409" s="90" t="s">
        <v>785</v>
      </c>
      <c r="W409" s="61">
        <v>393116</v>
      </c>
      <c r="X409" s="120">
        <v>200000</v>
      </c>
      <c r="Y409" s="61">
        <v>354000</v>
      </c>
      <c r="Z409" s="235"/>
      <c r="AA409" s="47">
        <f>AB409+AC409+AD409+AE409</f>
        <v>304000</v>
      </c>
      <c r="AB409" s="241">
        <v>154000</v>
      </c>
      <c r="AC409" s="235"/>
      <c r="AD409" s="120">
        <v>150000</v>
      </c>
      <c r="AE409" s="235"/>
      <c r="AF409" s="120">
        <v>742.60699999999997</v>
      </c>
      <c r="AG409" s="120">
        <v>4000</v>
      </c>
      <c r="AH409" s="120"/>
      <c r="AI409" s="120">
        <v>3000</v>
      </c>
      <c r="AJ409" s="47">
        <f>AF409+AI409</f>
        <v>3742.607</v>
      </c>
      <c r="AK409" s="120">
        <v>168974</v>
      </c>
      <c r="AL409" s="47">
        <f>AM409+AN409+AO409+AP409</f>
        <v>100000</v>
      </c>
      <c r="AM409" s="47"/>
      <c r="AN409" s="47"/>
      <c r="AO409" s="47">
        <v>100000</v>
      </c>
      <c r="AP409" s="43"/>
      <c r="AQ409" s="47"/>
      <c r="AR409" s="48">
        <f t="shared" si="790"/>
        <v>200257.39299999998</v>
      </c>
      <c r="AS409" s="49" t="e">
        <f>#REF!-AL409</f>
        <v>#REF!</v>
      </c>
    </row>
    <row r="410" spans="1:45">
      <c r="B410" s="144"/>
      <c r="C410" s="359"/>
      <c r="D410" s="38"/>
      <c r="E410" s="68"/>
      <c r="F410" s="68"/>
      <c r="G410" s="68"/>
      <c r="H410" s="68"/>
      <c r="I410" s="68"/>
      <c r="J410" s="68"/>
      <c r="K410" s="68"/>
      <c r="L410" s="68"/>
      <c r="M410" s="252"/>
      <c r="N410" s="40"/>
      <c r="O410" s="40"/>
      <c r="P410" s="40"/>
      <c r="Q410" s="40"/>
      <c r="R410" s="40"/>
      <c r="S410" s="40"/>
      <c r="T410" s="144"/>
      <c r="U410" s="144"/>
      <c r="V410" s="144"/>
      <c r="W410" s="70"/>
      <c r="X410" s="288"/>
      <c r="Y410" s="70"/>
      <c r="Z410" s="288"/>
      <c r="AA410" s="70"/>
      <c r="AB410" s="288"/>
      <c r="AC410" s="288"/>
      <c r="AD410" s="288"/>
      <c r="AE410" s="288"/>
      <c r="AF410" s="288"/>
      <c r="AG410" s="288"/>
      <c r="AH410" s="288"/>
      <c r="AI410" s="288"/>
      <c r="AJ410" s="70"/>
      <c r="AK410" s="288"/>
      <c r="AL410" s="70"/>
      <c r="AM410" s="70"/>
      <c r="AN410" s="70"/>
      <c r="AO410" s="70"/>
      <c r="AP410" s="70"/>
      <c r="AQ410" s="70"/>
      <c r="AR410" s="48">
        <f t="shared" si="790"/>
        <v>0</v>
      </c>
      <c r="AS410" s="49" t="e">
        <f>#REF!-AL410</f>
        <v>#REF!</v>
      </c>
    </row>
    <row r="411" spans="1:45" s="72" customFormat="1" ht="21.95" customHeight="1">
      <c r="B411" s="36" t="s">
        <v>947</v>
      </c>
      <c r="C411" s="346" t="s">
        <v>31</v>
      </c>
      <c r="D411" s="247">
        <f t="shared" ref="D411:J411" si="820">D412+D421</f>
        <v>7</v>
      </c>
      <c r="E411" s="43">
        <f t="shared" si="820"/>
        <v>1</v>
      </c>
      <c r="F411" s="43">
        <f t="shared" si="820"/>
        <v>6000</v>
      </c>
      <c r="G411" s="43">
        <f t="shared" si="820"/>
        <v>6</v>
      </c>
      <c r="H411" s="43">
        <f t="shared" si="820"/>
        <v>42400</v>
      </c>
      <c r="I411" s="43">
        <f t="shared" si="820"/>
        <v>0</v>
      </c>
      <c r="J411" s="43">
        <f t="shared" si="820"/>
        <v>0</v>
      </c>
      <c r="K411" s="43" t="e">
        <f>K412+#REF!+K421</f>
        <v>#REF!</v>
      </c>
      <c r="L411" s="43" t="e">
        <f>L412+#REF!+L421</f>
        <v>#REF!</v>
      </c>
      <c r="M411" s="43" t="e">
        <f>M412+#REF!+M421</f>
        <v>#REF!</v>
      </c>
      <c r="N411" s="80"/>
      <c r="O411" s="80"/>
      <c r="P411" s="80"/>
      <c r="Q411" s="80"/>
      <c r="R411" s="80"/>
      <c r="S411" s="247"/>
      <c r="T411" s="139"/>
      <c r="U411" s="139"/>
      <c r="V411" s="139"/>
      <c r="W411" s="43">
        <f>W412+W421</f>
        <v>168356</v>
      </c>
      <c r="X411" s="43" t="e">
        <f>X412+#REF!+X421</f>
        <v>#REF!</v>
      </c>
      <c r="Y411" s="43">
        <f t="shared" ref="Y411:AP411" si="821">Y412+Y421</f>
        <v>153900</v>
      </c>
      <c r="Z411" s="43">
        <f t="shared" si="821"/>
        <v>0</v>
      </c>
      <c r="AA411" s="43">
        <f t="shared" si="821"/>
        <v>153900</v>
      </c>
      <c r="AB411" s="235">
        <f t="shared" si="821"/>
        <v>82200</v>
      </c>
      <c r="AC411" s="235">
        <f t="shared" si="821"/>
        <v>0</v>
      </c>
      <c r="AD411" s="235">
        <f t="shared" si="821"/>
        <v>50000</v>
      </c>
      <c r="AE411" s="235">
        <f t="shared" si="821"/>
        <v>0</v>
      </c>
      <c r="AF411" s="235">
        <f t="shared" si="821"/>
        <v>22524.425999999999</v>
      </c>
      <c r="AG411" s="235">
        <f t="shared" si="821"/>
        <v>39000</v>
      </c>
      <c r="AH411" s="235">
        <f t="shared" si="821"/>
        <v>13100</v>
      </c>
      <c r="AI411" s="235">
        <f t="shared" si="821"/>
        <v>61866</v>
      </c>
      <c r="AJ411" s="43">
        <f t="shared" si="821"/>
        <v>84390.426000000007</v>
      </c>
      <c r="AK411" s="235">
        <f t="shared" si="821"/>
        <v>48516</v>
      </c>
      <c r="AL411" s="43">
        <f t="shared" si="821"/>
        <v>48400</v>
      </c>
      <c r="AM411" s="43">
        <f t="shared" si="821"/>
        <v>20400</v>
      </c>
      <c r="AN411" s="43">
        <f t="shared" si="821"/>
        <v>0</v>
      </c>
      <c r="AO411" s="43">
        <f t="shared" si="821"/>
        <v>28000</v>
      </c>
      <c r="AP411" s="43">
        <f t="shared" si="821"/>
        <v>0</v>
      </c>
      <c r="AQ411" s="43"/>
      <c r="AR411" s="48">
        <f t="shared" si="790"/>
        <v>21109.573999999993</v>
      </c>
      <c r="AS411" s="49" t="e">
        <f>#REF!-AL411</f>
        <v>#REF!</v>
      </c>
    </row>
    <row r="412" spans="1:45" s="50" customFormat="1" ht="33.6" customHeight="1">
      <c r="B412" s="36" t="s">
        <v>50</v>
      </c>
      <c r="C412" s="340" t="s">
        <v>175</v>
      </c>
      <c r="D412" s="247">
        <f t="shared" ref="D412:J412" si="822">D413+D415</f>
        <v>6</v>
      </c>
      <c r="E412" s="43">
        <f t="shared" si="822"/>
        <v>0</v>
      </c>
      <c r="F412" s="43">
        <f t="shared" si="822"/>
        <v>0</v>
      </c>
      <c r="G412" s="43">
        <f t="shared" si="822"/>
        <v>6</v>
      </c>
      <c r="H412" s="43">
        <f t="shared" si="822"/>
        <v>42400</v>
      </c>
      <c r="I412" s="43">
        <f t="shared" si="822"/>
        <v>0</v>
      </c>
      <c r="J412" s="43">
        <f t="shared" si="822"/>
        <v>0</v>
      </c>
      <c r="K412" s="43">
        <f t="shared" ref="K412" si="823">K415</f>
        <v>0</v>
      </c>
      <c r="L412" s="43">
        <f t="shared" ref="L412" si="824">L415</f>
        <v>4</v>
      </c>
      <c r="M412" s="43">
        <f t="shared" ref="M412" si="825">M415</f>
        <v>0</v>
      </c>
      <c r="N412" s="39"/>
      <c r="O412" s="39"/>
      <c r="P412" s="39"/>
      <c r="Q412" s="39"/>
      <c r="R412" s="39"/>
      <c r="S412" s="39"/>
      <c r="T412" s="90"/>
      <c r="U412" s="90"/>
      <c r="V412" s="90"/>
      <c r="W412" s="43">
        <f>W413+W415</f>
        <v>139206</v>
      </c>
      <c r="X412" s="43">
        <f t="shared" ref="X412:AP412" si="826">X413+X415</f>
        <v>50000</v>
      </c>
      <c r="Y412" s="43">
        <f t="shared" si="826"/>
        <v>127500</v>
      </c>
      <c r="Z412" s="43">
        <f t="shared" si="826"/>
        <v>0</v>
      </c>
      <c r="AA412" s="43">
        <f t="shared" si="826"/>
        <v>127500</v>
      </c>
      <c r="AB412" s="235">
        <f t="shared" si="826"/>
        <v>55800</v>
      </c>
      <c r="AC412" s="235">
        <f t="shared" si="826"/>
        <v>0</v>
      </c>
      <c r="AD412" s="235">
        <f t="shared" si="826"/>
        <v>50000</v>
      </c>
      <c r="AE412" s="235">
        <f t="shared" si="826"/>
        <v>0</v>
      </c>
      <c r="AF412" s="235">
        <f t="shared" si="826"/>
        <v>22524.425999999999</v>
      </c>
      <c r="AG412" s="235">
        <f t="shared" si="826"/>
        <v>39000</v>
      </c>
      <c r="AH412" s="235">
        <f t="shared" si="826"/>
        <v>13100</v>
      </c>
      <c r="AI412" s="235">
        <f t="shared" si="826"/>
        <v>61866</v>
      </c>
      <c r="AJ412" s="43">
        <f t="shared" si="826"/>
        <v>84390.426000000007</v>
      </c>
      <c r="AK412" s="235">
        <f t="shared" si="826"/>
        <v>42516</v>
      </c>
      <c r="AL412" s="43">
        <f t="shared" si="826"/>
        <v>42400</v>
      </c>
      <c r="AM412" s="43">
        <f t="shared" si="826"/>
        <v>14400</v>
      </c>
      <c r="AN412" s="43">
        <f t="shared" si="826"/>
        <v>0</v>
      </c>
      <c r="AO412" s="43">
        <f t="shared" si="826"/>
        <v>28000</v>
      </c>
      <c r="AP412" s="43">
        <f t="shared" si="826"/>
        <v>0</v>
      </c>
      <c r="AQ412" s="47"/>
      <c r="AR412" s="48">
        <f t="shared" si="790"/>
        <v>709.57399999999325</v>
      </c>
      <c r="AS412" s="49" t="e">
        <f>#REF!-AL412</f>
        <v>#REF!</v>
      </c>
    </row>
    <row r="413" spans="1:45" s="244" customFormat="1" ht="24" customHeight="1">
      <c r="B413" s="129" t="s">
        <v>106</v>
      </c>
      <c r="C413" s="352" t="s">
        <v>107</v>
      </c>
      <c r="D413" s="439">
        <f t="shared" ref="D413:M413" si="827">D414</f>
        <v>1</v>
      </c>
      <c r="E413" s="69">
        <f t="shared" si="827"/>
        <v>0</v>
      </c>
      <c r="F413" s="69">
        <f t="shared" si="827"/>
        <v>0</v>
      </c>
      <c r="G413" s="69">
        <f t="shared" si="827"/>
        <v>1</v>
      </c>
      <c r="H413" s="69">
        <f t="shared" si="827"/>
        <v>28000</v>
      </c>
      <c r="I413" s="69">
        <f t="shared" si="827"/>
        <v>0</v>
      </c>
      <c r="J413" s="69">
        <f t="shared" si="827"/>
        <v>0</v>
      </c>
      <c r="K413" s="69">
        <f t="shared" si="827"/>
        <v>0</v>
      </c>
      <c r="L413" s="69">
        <f t="shared" si="827"/>
        <v>1</v>
      </c>
      <c r="M413" s="69">
        <f t="shared" si="827"/>
        <v>0</v>
      </c>
      <c r="N413" s="245"/>
      <c r="O413" s="245"/>
      <c r="P413" s="245"/>
      <c r="Q413" s="245"/>
      <c r="R413" s="245"/>
      <c r="S413" s="245"/>
      <c r="T413" s="311"/>
      <c r="U413" s="311"/>
      <c r="V413" s="311"/>
      <c r="W413" s="69">
        <f t="shared" ref="W413:AP413" si="828">W414</f>
        <v>55534</v>
      </c>
      <c r="X413" s="69">
        <f t="shared" si="828"/>
        <v>50000</v>
      </c>
      <c r="Y413" s="69">
        <f t="shared" si="828"/>
        <v>50000</v>
      </c>
      <c r="Z413" s="69">
        <f t="shared" si="828"/>
        <v>0</v>
      </c>
      <c r="AA413" s="69">
        <f t="shared" si="828"/>
        <v>50000</v>
      </c>
      <c r="AB413" s="236">
        <f t="shared" si="828"/>
        <v>0</v>
      </c>
      <c r="AC413" s="236">
        <f t="shared" si="828"/>
        <v>0</v>
      </c>
      <c r="AD413" s="236">
        <f t="shared" si="828"/>
        <v>50000</v>
      </c>
      <c r="AE413" s="236">
        <f t="shared" si="828"/>
        <v>0</v>
      </c>
      <c r="AF413" s="236">
        <f t="shared" si="828"/>
        <v>0</v>
      </c>
      <c r="AG413" s="236">
        <f t="shared" si="828"/>
        <v>15000</v>
      </c>
      <c r="AH413" s="236">
        <f t="shared" si="828"/>
        <v>500</v>
      </c>
      <c r="AI413" s="236">
        <f t="shared" si="828"/>
        <v>22000</v>
      </c>
      <c r="AJ413" s="69">
        <f t="shared" si="828"/>
        <v>22000</v>
      </c>
      <c r="AK413" s="236">
        <f t="shared" si="828"/>
        <v>28000</v>
      </c>
      <c r="AL413" s="69">
        <f t="shared" si="828"/>
        <v>28000</v>
      </c>
      <c r="AM413" s="69">
        <f t="shared" si="828"/>
        <v>0</v>
      </c>
      <c r="AN413" s="69">
        <f t="shared" si="828"/>
        <v>0</v>
      </c>
      <c r="AO413" s="69">
        <f t="shared" si="828"/>
        <v>28000</v>
      </c>
      <c r="AP413" s="69">
        <f t="shared" si="828"/>
        <v>0</v>
      </c>
      <c r="AQ413" s="69"/>
      <c r="AR413" s="131">
        <f t="shared" si="790"/>
        <v>0</v>
      </c>
      <c r="AS413" s="132" t="e">
        <f>#REF!-AL413</f>
        <v>#REF!</v>
      </c>
    </row>
    <row r="414" spans="1:45" s="50" customFormat="1" ht="65.45" customHeight="1">
      <c r="A414" s="50" t="s">
        <v>104</v>
      </c>
      <c r="B414" s="237">
        <v>1</v>
      </c>
      <c r="C414" s="345" t="s">
        <v>625</v>
      </c>
      <c r="D414" s="93">
        <v>1</v>
      </c>
      <c r="E414" s="47"/>
      <c r="F414" s="47"/>
      <c r="G414" s="47">
        <v>1</v>
      </c>
      <c r="H414" s="47">
        <f>G414*AL414</f>
        <v>28000</v>
      </c>
      <c r="I414" s="47"/>
      <c r="J414" s="47"/>
      <c r="K414" s="47"/>
      <c r="L414" s="47">
        <v>1</v>
      </c>
      <c r="M414" s="88"/>
      <c r="N414" s="39" t="s">
        <v>131</v>
      </c>
      <c r="O414" s="105" t="s">
        <v>109</v>
      </c>
      <c r="P414" s="105" t="s">
        <v>132</v>
      </c>
      <c r="Q414" s="39">
        <v>7908157</v>
      </c>
      <c r="R414" s="39"/>
      <c r="S414" s="39"/>
      <c r="T414" s="105" t="s">
        <v>133</v>
      </c>
      <c r="U414" s="39" t="s">
        <v>134</v>
      </c>
      <c r="V414" s="39" t="s">
        <v>553</v>
      </c>
      <c r="W414" s="46">
        <v>55534</v>
      </c>
      <c r="X414" s="217">
        <v>50000</v>
      </c>
      <c r="Y414" s="47">
        <v>50000</v>
      </c>
      <c r="Z414" s="120"/>
      <c r="AA414" s="47">
        <f>AB414+AC414+AD414+AE414</f>
        <v>50000</v>
      </c>
      <c r="AB414" s="120"/>
      <c r="AC414" s="120"/>
      <c r="AD414" s="120">
        <f>X414</f>
        <v>50000</v>
      </c>
      <c r="AE414" s="120"/>
      <c r="AF414" s="120"/>
      <c r="AG414" s="120">
        <v>15000</v>
      </c>
      <c r="AH414" s="120">
        <v>500</v>
      </c>
      <c r="AI414" s="120">
        <v>22000</v>
      </c>
      <c r="AJ414" s="47">
        <f>AF414+AI414</f>
        <v>22000</v>
      </c>
      <c r="AK414" s="120">
        <v>28000</v>
      </c>
      <c r="AL414" s="47">
        <f>AM414+AN414+AO414+AP414</f>
        <v>28000</v>
      </c>
      <c r="AM414" s="47"/>
      <c r="AN414" s="47"/>
      <c r="AO414" s="47">
        <v>28000</v>
      </c>
      <c r="AP414" s="47"/>
      <c r="AQ414" s="47"/>
      <c r="AR414" s="48">
        <f t="shared" si="790"/>
        <v>0</v>
      </c>
      <c r="AS414" s="49" t="e">
        <f>#REF!-AL414</f>
        <v>#REF!</v>
      </c>
    </row>
    <row r="415" spans="1:45" s="133" customFormat="1" ht="21.95" customHeight="1">
      <c r="B415" s="129" t="s">
        <v>135</v>
      </c>
      <c r="C415" s="352" t="s">
        <v>119</v>
      </c>
      <c r="D415" s="439">
        <f t="shared" ref="D415:J415" si="829">D416+D417+D418+D419+D420</f>
        <v>5</v>
      </c>
      <c r="E415" s="69">
        <f t="shared" si="829"/>
        <v>0</v>
      </c>
      <c r="F415" s="69">
        <f t="shared" si="829"/>
        <v>0</v>
      </c>
      <c r="G415" s="69">
        <f t="shared" si="829"/>
        <v>5</v>
      </c>
      <c r="H415" s="69">
        <f t="shared" si="829"/>
        <v>14400</v>
      </c>
      <c r="I415" s="69">
        <f t="shared" si="829"/>
        <v>0</v>
      </c>
      <c r="J415" s="69">
        <f t="shared" si="829"/>
        <v>0</v>
      </c>
      <c r="K415" s="69">
        <f t="shared" ref="K415:M415" si="830">SUM(K416:K419)</f>
        <v>0</v>
      </c>
      <c r="L415" s="69">
        <f t="shared" si="830"/>
        <v>4</v>
      </c>
      <c r="M415" s="69">
        <f t="shared" si="830"/>
        <v>0</v>
      </c>
      <c r="N415" s="122"/>
      <c r="O415" s="122"/>
      <c r="P415" s="122"/>
      <c r="Q415" s="122"/>
      <c r="R415" s="122"/>
      <c r="S415" s="122"/>
      <c r="T415" s="310"/>
      <c r="U415" s="124"/>
      <c r="V415" s="124"/>
      <c r="W415" s="69">
        <f>W416+W417+W418+W419+W420</f>
        <v>83672</v>
      </c>
      <c r="X415" s="236">
        <f t="shared" ref="X415" si="831">X416+X417+X418+X419</f>
        <v>0</v>
      </c>
      <c r="Y415" s="69">
        <f t="shared" ref="Y415:AP415" si="832">Y416+Y417+Y418+Y419+Y420</f>
        <v>77500</v>
      </c>
      <c r="Z415" s="69">
        <f t="shared" si="832"/>
        <v>0</v>
      </c>
      <c r="AA415" s="69">
        <f t="shared" si="832"/>
        <v>77500</v>
      </c>
      <c r="AB415" s="236">
        <f t="shared" si="832"/>
        <v>55800</v>
      </c>
      <c r="AC415" s="236">
        <f t="shared" si="832"/>
        <v>0</v>
      </c>
      <c r="AD415" s="236">
        <f t="shared" si="832"/>
        <v>0</v>
      </c>
      <c r="AE415" s="236">
        <f t="shared" si="832"/>
        <v>0</v>
      </c>
      <c r="AF415" s="236">
        <f t="shared" si="832"/>
        <v>22524.425999999999</v>
      </c>
      <c r="AG415" s="236">
        <f t="shared" si="832"/>
        <v>24000</v>
      </c>
      <c r="AH415" s="236">
        <f t="shared" si="832"/>
        <v>12600</v>
      </c>
      <c r="AI415" s="236">
        <f t="shared" si="832"/>
        <v>39866</v>
      </c>
      <c r="AJ415" s="69">
        <f t="shared" si="832"/>
        <v>62390.425999999999</v>
      </c>
      <c r="AK415" s="236">
        <f t="shared" si="832"/>
        <v>14516</v>
      </c>
      <c r="AL415" s="69">
        <f t="shared" si="832"/>
        <v>14400</v>
      </c>
      <c r="AM415" s="69">
        <f t="shared" si="832"/>
        <v>14400</v>
      </c>
      <c r="AN415" s="69">
        <f t="shared" si="832"/>
        <v>0</v>
      </c>
      <c r="AO415" s="69">
        <f t="shared" si="832"/>
        <v>0</v>
      </c>
      <c r="AP415" s="69">
        <f t="shared" si="832"/>
        <v>0</v>
      </c>
      <c r="AQ415" s="130"/>
      <c r="AR415" s="131">
        <f t="shared" si="790"/>
        <v>709.57399999999325</v>
      </c>
      <c r="AS415" s="132" t="e">
        <f>#REF!-AL415</f>
        <v>#REF!</v>
      </c>
    </row>
    <row r="416" spans="1:45" s="50" customFormat="1" ht="77.099999999999994" customHeight="1">
      <c r="A416" s="50" t="s">
        <v>749</v>
      </c>
      <c r="B416" s="243">
        <v>1</v>
      </c>
      <c r="C416" s="345" t="s">
        <v>735</v>
      </c>
      <c r="D416" s="93">
        <v>1</v>
      </c>
      <c r="E416" s="47"/>
      <c r="F416" s="47"/>
      <c r="G416" s="47">
        <v>1</v>
      </c>
      <c r="H416" s="47">
        <f>G416*AL416</f>
        <v>3200</v>
      </c>
      <c r="I416" s="47"/>
      <c r="J416" s="47"/>
      <c r="K416" s="47"/>
      <c r="L416" s="47">
        <v>1</v>
      </c>
      <c r="M416" s="88"/>
      <c r="N416" s="41" t="s">
        <v>136</v>
      </c>
      <c r="O416" s="93" t="s">
        <v>109</v>
      </c>
      <c r="P416" s="41" t="s">
        <v>32</v>
      </c>
      <c r="Q416" s="41">
        <v>7892093</v>
      </c>
      <c r="R416" s="39"/>
      <c r="S416" s="39" t="s">
        <v>137</v>
      </c>
      <c r="T416" s="41" t="s">
        <v>114</v>
      </c>
      <c r="U416" s="39" t="s">
        <v>138</v>
      </c>
      <c r="V416" s="39" t="s">
        <v>552</v>
      </c>
      <c r="W416" s="47">
        <v>15809</v>
      </c>
      <c r="X416" s="120"/>
      <c r="Y416" s="47">
        <v>14200</v>
      </c>
      <c r="Z416" s="120"/>
      <c r="AA416" s="47">
        <f>AB416+AC416+AD416+AE416</f>
        <v>14200</v>
      </c>
      <c r="AB416" s="120">
        <v>14200</v>
      </c>
      <c r="AC416" s="120"/>
      <c r="AD416" s="120"/>
      <c r="AE416" s="120"/>
      <c r="AF416" s="120">
        <v>4000</v>
      </c>
      <c r="AG416" s="120">
        <v>7000</v>
      </c>
      <c r="AH416" s="120">
        <v>3000</v>
      </c>
      <c r="AI416" s="120">
        <v>7000</v>
      </c>
      <c r="AJ416" s="47">
        <f>AF416+AI416</f>
        <v>11000</v>
      </c>
      <c r="AK416" s="120">
        <v>3200</v>
      </c>
      <c r="AL416" s="47">
        <f t="shared" ref="AL416:AL420" si="833">AM416+AN416+AO416</f>
        <v>3200</v>
      </c>
      <c r="AM416" s="47">
        <v>3200</v>
      </c>
      <c r="AN416" s="47"/>
      <c r="AO416" s="47"/>
      <c r="AP416" s="47"/>
      <c r="AQ416" s="47"/>
      <c r="AR416" s="48">
        <f t="shared" si="790"/>
        <v>0</v>
      </c>
      <c r="AS416" s="49" t="e">
        <f>#REF!-AL416</f>
        <v>#REF!</v>
      </c>
    </row>
    <row r="417" spans="1:45" s="50" customFormat="1" ht="83.1" customHeight="1">
      <c r="A417" s="50" t="s">
        <v>749</v>
      </c>
      <c r="B417" s="243">
        <v>2</v>
      </c>
      <c r="C417" s="345" t="s">
        <v>736</v>
      </c>
      <c r="D417" s="93">
        <v>1</v>
      </c>
      <c r="E417" s="47"/>
      <c r="F417" s="47"/>
      <c r="G417" s="47">
        <v>1</v>
      </c>
      <c r="H417" s="47">
        <f>G417*AL417</f>
        <v>4500</v>
      </c>
      <c r="I417" s="47"/>
      <c r="J417" s="47"/>
      <c r="K417" s="47"/>
      <c r="L417" s="47">
        <v>1</v>
      </c>
      <c r="M417" s="88"/>
      <c r="N417" s="41" t="s">
        <v>139</v>
      </c>
      <c r="O417" s="93" t="s">
        <v>109</v>
      </c>
      <c r="P417" s="41" t="s">
        <v>32</v>
      </c>
      <c r="Q417" s="41">
        <v>7892094</v>
      </c>
      <c r="R417" s="39"/>
      <c r="S417" s="39" t="s">
        <v>137</v>
      </c>
      <c r="T417" s="41" t="s">
        <v>114</v>
      </c>
      <c r="U417" s="39" t="s">
        <v>140</v>
      </c>
      <c r="V417" s="39" t="s">
        <v>551</v>
      </c>
      <c r="W417" s="47">
        <v>13529</v>
      </c>
      <c r="X417" s="120"/>
      <c r="Y417" s="47">
        <v>13500</v>
      </c>
      <c r="Z417" s="120"/>
      <c r="AA417" s="47">
        <f t="shared" ref="AA417:AA418" si="834">AB417+AC417+AD417+AE417</f>
        <v>13500</v>
      </c>
      <c r="AB417" s="120">
        <v>13500</v>
      </c>
      <c r="AC417" s="120"/>
      <c r="AD417" s="120"/>
      <c r="AE417" s="120"/>
      <c r="AF417" s="120">
        <v>3963</v>
      </c>
      <c r="AG417" s="120">
        <v>5000</v>
      </c>
      <c r="AH417" s="120">
        <v>2000</v>
      </c>
      <c r="AI417" s="120">
        <v>5000</v>
      </c>
      <c r="AJ417" s="47">
        <f>AF417+AI417</f>
        <v>8963</v>
      </c>
      <c r="AK417" s="120">
        <v>4537</v>
      </c>
      <c r="AL417" s="47">
        <f t="shared" si="833"/>
        <v>4500</v>
      </c>
      <c r="AM417" s="47">
        <v>4500</v>
      </c>
      <c r="AN417" s="47"/>
      <c r="AO417" s="47"/>
      <c r="AP417" s="47"/>
      <c r="AQ417" s="47"/>
      <c r="AR417" s="48">
        <f t="shared" si="790"/>
        <v>37</v>
      </c>
      <c r="AS417" s="49" t="e">
        <f>#REF!-AL417</f>
        <v>#REF!</v>
      </c>
    </row>
    <row r="418" spans="1:45" s="50" customFormat="1" ht="78.599999999999994" customHeight="1">
      <c r="A418" s="50" t="s">
        <v>749</v>
      </c>
      <c r="B418" s="237">
        <v>3</v>
      </c>
      <c r="C418" s="345" t="s">
        <v>737</v>
      </c>
      <c r="D418" s="93">
        <v>1</v>
      </c>
      <c r="E418" s="47"/>
      <c r="F418" s="47"/>
      <c r="G418" s="47">
        <v>1</v>
      </c>
      <c r="H418" s="47">
        <f>G418*AL418</f>
        <v>1100</v>
      </c>
      <c r="I418" s="47"/>
      <c r="J418" s="47"/>
      <c r="K418" s="47"/>
      <c r="L418" s="47">
        <v>1</v>
      </c>
      <c r="M418" s="88"/>
      <c r="N418" s="41" t="s">
        <v>141</v>
      </c>
      <c r="O418" s="93" t="s">
        <v>109</v>
      </c>
      <c r="P418" s="41" t="s">
        <v>32</v>
      </c>
      <c r="Q418" s="41">
        <v>7892092</v>
      </c>
      <c r="R418" s="39"/>
      <c r="S418" s="39" t="s">
        <v>137</v>
      </c>
      <c r="T418" s="41" t="s">
        <v>114</v>
      </c>
      <c r="U418" s="39" t="s">
        <v>142</v>
      </c>
      <c r="V418" s="39" t="s">
        <v>550</v>
      </c>
      <c r="W418" s="47">
        <v>10135</v>
      </c>
      <c r="X418" s="120"/>
      <c r="Y418" s="47">
        <v>10100</v>
      </c>
      <c r="Z418" s="120"/>
      <c r="AA418" s="47">
        <f t="shared" si="834"/>
        <v>10100</v>
      </c>
      <c r="AB418" s="120">
        <v>10100</v>
      </c>
      <c r="AC418" s="120"/>
      <c r="AD418" s="120"/>
      <c r="AE418" s="120"/>
      <c r="AF418" s="120">
        <v>3971</v>
      </c>
      <c r="AG418" s="120">
        <v>5000</v>
      </c>
      <c r="AH418" s="120">
        <v>2000</v>
      </c>
      <c r="AI418" s="120">
        <v>5000</v>
      </c>
      <c r="AJ418" s="47">
        <f>AF418+AI418</f>
        <v>8971</v>
      </c>
      <c r="AK418" s="120">
        <v>1129</v>
      </c>
      <c r="AL418" s="47">
        <f t="shared" si="833"/>
        <v>1100</v>
      </c>
      <c r="AM418" s="47">
        <v>1100</v>
      </c>
      <c r="AN418" s="47"/>
      <c r="AO418" s="47"/>
      <c r="AP418" s="47"/>
      <c r="AQ418" s="47"/>
      <c r="AR418" s="48">
        <f t="shared" si="790"/>
        <v>29</v>
      </c>
      <c r="AS418" s="49" t="e">
        <f>#REF!-AL418</f>
        <v>#REF!</v>
      </c>
    </row>
    <row r="419" spans="1:45" s="73" customFormat="1" ht="90">
      <c r="A419" s="50" t="s">
        <v>749</v>
      </c>
      <c r="B419" s="237">
        <v>4</v>
      </c>
      <c r="C419" s="345" t="s">
        <v>738</v>
      </c>
      <c r="D419" s="93">
        <v>1</v>
      </c>
      <c r="E419" s="47"/>
      <c r="F419" s="47"/>
      <c r="G419" s="47">
        <v>1</v>
      </c>
      <c r="H419" s="47">
        <f>G419*AL419</f>
        <v>4000</v>
      </c>
      <c r="I419" s="47"/>
      <c r="J419" s="47"/>
      <c r="K419" s="47"/>
      <c r="L419" s="47">
        <v>1</v>
      </c>
      <c r="M419" s="88"/>
      <c r="N419" s="39" t="s">
        <v>131</v>
      </c>
      <c r="O419" s="105" t="s">
        <v>109</v>
      </c>
      <c r="P419" s="105" t="s">
        <v>132</v>
      </c>
      <c r="Q419" s="39">
        <v>7892347</v>
      </c>
      <c r="R419" s="39"/>
      <c r="S419" s="39" t="s">
        <v>143</v>
      </c>
      <c r="T419" s="39" t="s">
        <v>114</v>
      </c>
      <c r="U419" s="39" t="s">
        <v>144</v>
      </c>
      <c r="V419" s="39" t="s">
        <v>549</v>
      </c>
      <c r="W419" s="47">
        <v>20080</v>
      </c>
      <c r="X419" s="120"/>
      <c r="Y419" s="47">
        <v>18000</v>
      </c>
      <c r="Z419" s="120"/>
      <c r="AA419" s="47">
        <f>AB419+AC419+AD419+AE419</f>
        <v>18000</v>
      </c>
      <c r="AB419" s="120">
        <v>18000</v>
      </c>
      <c r="AC419" s="120"/>
      <c r="AD419" s="120"/>
      <c r="AE419" s="120"/>
      <c r="AF419" s="120">
        <v>5634</v>
      </c>
      <c r="AG419" s="120">
        <v>7000</v>
      </c>
      <c r="AH419" s="120">
        <v>5600</v>
      </c>
      <c r="AI419" s="120">
        <f>AG419+1366</f>
        <v>8366</v>
      </c>
      <c r="AJ419" s="47">
        <f>AF419+AI419</f>
        <v>14000</v>
      </c>
      <c r="AK419" s="120">
        <v>4000</v>
      </c>
      <c r="AL419" s="47">
        <f t="shared" si="833"/>
        <v>4000</v>
      </c>
      <c r="AM419" s="47">
        <v>4000</v>
      </c>
      <c r="AN419" s="47"/>
      <c r="AO419" s="47"/>
      <c r="AP419" s="47"/>
      <c r="AQ419" s="47"/>
      <c r="AR419" s="48">
        <f t="shared" si="790"/>
        <v>0</v>
      </c>
      <c r="AS419" s="49" t="e">
        <f>#REF!-AL419</f>
        <v>#REF!</v>
      </c>
    </row>
    <row r="420" spans="1:45" s="73" customFormat="1" ht="60.75" customHeight="1">
      <c r="A420" s="50"/>
      <c r="B420" s="237">
        <v>5</v>
      </c>
      <c r="C420" s="92" t="s">
        <v>974</v>
      </c>
      <c r="D420" s="93">
        <v>1</v>
      </c>
      <c r="E420" s="47"/>
      <c r="F420" s="47"/>
      <c r="G420" s="47">
        <v>1</v>
      </c>
      <c r="H420" s="47">
        <f>G420*AL420</f>
        <v>1600</v>
      </c>
      <c r="I420" s="47"/>
      <c r="J420" s="47"/>
      <c r="K420" s="47"/>
      <c r="L420" s="47"/>
      <c r="M420" s="88"/>
      <c r="N420" s="39" t="s">
        <v>131</v>
      </c>
      <c r="O420" s="105" t="s">
        <v>109</v>
      </c>
      <c r="P420" s="105" t="s">
        <v>132</v>
      </c>
      <c r="Q420" s="39">
        <v>7892424</v>
      </c>
      <c r="R420" s="39"/>
      <c r="S420" s="39" t="s">
        <v>973</v>
      </c>
      <c r="T420" s="41" t="s">
        <v>114</v>
      </c>
      <c r="U420" s="39"/>
      <c r="V420" s="93" t="s">
        <v>975</v>
      </c>
      <c r="W420" s="84">
        <v>24119</v>
      </c>
      <c r="X420" s="47"/>
      <c r="Y420" s="47">
        <v>21700</v>
      </c>
      <c r="Z420" s="47"/>
      <c r="AA420" s="47">
        <v>21700</v>
      </c>
      <c r="AB420" s="120"/>
      <c r="AC420" s="120"/>
      <c r="AD420" s="120"/>
      <c r="AE420" s="120"/>
      <c r="AF420" s="120">
        <v>4956.4260000000004</v>
      </c>
      <c r="AG420" s="120"/>
      <c r="AH420" s="120"/>
      <c r="AI420" s="120">
        <v>14500</v>
      </c>
      <c r="AJ420" s="47">
        <f>AF420+AI420</f>
        <v>19456.425999999999</v>
      </c>
      <c r="AK420" s="120">
        <v>1650</v>
      </c>
      <c r="AL420" s="47">
        <f t="shared" si="833"/>
        <v>1600</v>
      </c>
      <c r="AM420" s="47">
        <v>1600</v>
      </c>
      <c r="AN420" s="47"/>
      <c r="AO420" s="47"/>
      <c r="AP420" s="47"/>
      <c r="AQ420" s="47"/>
      <c r="AR420" s="48"/>
      <c r="AS420" s="49"/>
    </row>
    <row r="421" spans="1:45" s="73" customFormat="1" ht="30.95" customHeight="1">
      <c r="A421" s="50"/>
      <c r="B421" s="36" t="s">
        <v>51</v>
      </c>
      <c r="C421" s="340" t="s">
        <v>120</v>
      </c>
      <c r="D421" s="247">
        <f t="shared" ref="D421:D422" si="835">D422</f>
        <v>1</v>
      </c>
      <c r="E421" s="43">
        <f t="shared" ref="E421:E422" si="836">E422</f>
        <v>1</v>
      </c>
      <c r="F421" s="43">
        <f t="shared" ref="F421:F422" si="837">F422</f>
        <v>6000</v>
      </c>
      <c r="G421" s="43">
        <f t="shared" ref="G421:G422" si="838">G422</f>
        <v>0</v>
      </c>
      <c r="H421" s="43">
        <f t="shared" ref="H421:H422" si="839">H422</f>
        <v>0</v>
      </c>
      <c r="I421" s="43">
        <f t="shared" ref="I421:I422" si="840">I422</f>
        <v>0</v>
      </c>
      <c r="J421" s="43">
        <f t="shared" ref="J421:J422" si="841">J422</f>
        <v>0</v>
      </c>
      <c r="K421" s="43">
        <f t="shared" ref="K421:K422" si="842">K422</f>
        <v>0</v>
      </c>
      <c r="L421" s="43">
        <f t="shared" ref="L421:L422" si="843">L422</f>
        <v>1</v>
      </c>
      <c r="M421" s="43">
        <f t="shared" ref="M421:M422" si="844">M422</f>
        <v>0</v>
      </c>
      <c r="N421" s="39"/>
      <c r="O421" s="105"/>
      <c r="P421" s="105"/>
      <c r="Q421" s="39"/>
      <c r="R421" s="39"/>
      <c r="S421" s="39"/>
      <c r="T421" s="39"/>
      <c r="U421" s="39"/>
      <c r="V421" s="39"/>
      <c r="W421" s="43">
        <f>W422</f>
        <v>29150</v>
      </c>
      <c r="X421" s="43">
        <f t="shared" ref="X421:AP422" si="845">X422</f>
        <v>0</v>
      </c>
      <c r="Y421" s="43">
        <f t="shared" si="845"/>
        <v>26400</v>
      </c>
      <c r="Z421" s="43">
        <f t="shared" si="845"/>
        <v>0</v>
      </c>
      <c r="AA421" s="43">
        <f t="shared" si="845"/>
        <v>26400</v>
      </c>
      <c r="AB421" s="235">
        <f t="shared" si="845"/>
        <v>26400</v>
      </c>
      <c r="AC421" s="235">
        <f t="shared" si="845"/>
        <v>0</v>
      </c>
      <c r="AD421" s="235">
        <f t="shared" si="845"/>
        <v>0</v>
      </c>
      <c r="AE421" s="235">
        <f t="shared" si="845"/>
        <v>0</v>
      </c>
      <c r="AF421" s="235">
        <f t="shared" si="845"/>
        <v>0</v>
      </c>
      <c r="AG421" s="235">
        <f t="shared" si="845"/>
        <v>0</v>
      </c>
      <c r="AH421" s="235">
        <f t="shared" si="845"/>
        <v>0</v>
      </c>
      <c r="AI421" s="235">
        <f t="shared" si="845"/>
        <v>0</v>
      </c>
      <c r="AJ421" s="43">
        <f t="shared" si="845"/>
        <v>0</v>
      </c>
      <c r="AK421" s="235">
        <f t="shared" si="845"/>
        <v>6000</v>
      </c>
      <c r="AL421" s="43">
        <f t="shared" si="845"/>
        <v>6000</v>
      </c>
      <c r="AM421" s="43">
        <f t="shared" si="845"/>
        <v>6000</v>
      </c>
      <c r="AN421" s="43">
        <f t="shared" si="845"/>
        <v>0</v>
      </c>
      <c r="AO421" s="43">
        <f t="shared" si="845"/>
        <v>0</v>
      </c>
      <c r="AP421" s="43">
        <f t="shared" si="845"/>
        <v>0</v>
      </c>
      <c r="AQ421" s="47"/>
      <c r="AR421" s="48"/>
      <c r="AS421" s="49"/>
    </row>
    <row r="422" spans="1:45" s="290" customFormat="1" ht="19.5" customHeight="1">
      <c r="A422" s="133"/>
      <c r="B422" s="129" t="s">
        <v>121</v>
      </c>
      <c r="C422" s="352" t="s">
        <v>119</v>
      </c>
      <c r="D422" s="439">
        <f t="shared" si="835"/>
        <v>1</v>
      </c>
      <c r="E422" s="69">
        <f t="shared" si="836"/>
        <v>1</v>
      </c>
      <c r="F422" s="69">
        <f t="shared" si="837"/>
        <v>6000</v>
      </c>
      <c r="G422" s="69">
        <f t="shared" si="838"/>
        <v>0</v>
      </c>
      <c r="H422" s="69">
        <f t="shared" si="839"/>
        <v>0</v>
      </c>
      <c r="I422" s="69">
        <f t="shared" si="840"/>
        <v>0</v>
      </c>
      <c r="J422" s="69">
        <f t="shared" si="841"/>
        <v>0</v>
      </c>
      <c r="K422" s="69">
        <f t="shared" si="842"/>
        <v>0</v>
      </c>
      <c r="L422" s="69">
        <f t="shared" si="843"/>
        <v>1</v>
      </c>
      <c r="M422" s="69">
        <f t="shared" si="844"/>
        <v>0</v>
      </c>
      <c r="N422" s="122"/>
      <c r="O422" s="281"/>
      <c r="P422" s="281"/>
      <c r="Q422" s="122"/>
      <c r="R422" s="122"/>
      <c r="S422" s="122"/>
      <c r="T422" s="122"/>
      <c r="U422" s="122"/>
      <c r="V422" s="122"/>
      <c r="W422" s="69">
        <f>W423</f>
        <v>29150</v>
      </c>
      <c r="X422" s="69">
        <f t="shared" si="845"/>
        <v>0</v>
      </c>
      <c r="Y422" s="69">
        <f t="shared" si="845"/>
        <v>26400</v>
      </c>
      <c r="Z422" s="69">
        <f t="shared" si="845"/>
        <v>0</v>
      </c>
      <c r="AA422" s="69">
        <f t="shared" si="845"/>
        <v>26400</v>
      </c>
      <c r="AB422" s="236">
        <f t="shared" si="845"/>
        <v>26400</v>
      </c>
      <c r="AC422" s="236">
        <f t="shared" si="845"/>
        <v>0</v>
      </c>
      <c r="AD422" s="236">
        <f t="shared" si="845"/>
        <v>0</v>
      </c>
      <c r="AE422" s="236">
        <f t="shared" si="845"/>
        <v>0</v>
      </c>
      <c r="AF422" s="236">
        <f t="shared" si="845"/>
        <v>0</v>
      </c>
      <c r="AG422" s="236">
        <f t="shared" si="845"/>
        <v>0</v>
      </c>
      <c r="AH422" s="236">
        <f t="shared" si="845"/>
        <v>0</v>
      </c>
      <c r="AI422" s="236">
        <f t="shared" si="845"/>
        <v>0</v>
      </c>
      <c r="AJ422" s="69">
        <f t="shared" si="845"/>
        <v>0</v>
      </c>
      <c r="AK422" s="236">
        <f t="shared" si="845"/>
        <v>6000</v>
      </c>
      <c r="AL422" s="69">
        <f t="shared" si="845"/>
        <v>6000</v>
      </c>
      <c r="AM422" s="69">
        <f t="shared" si="845"/>
        <v>6000</v>
      </c>
      <c r="AN422" s="69">
        <f t="shared" si="845"/>
        <v>0</v>
      </c>
      <c r="AO422" s="69">
        <f t="shared" si="845"/>
        <v>0</v>
      </c>
      <c r="AP422" s="69">
        <f t="shared" si="845"/>
        <v>0</v>
      </c>
      <c r="AQ422" s="130"/>
      <c r="AR422" s="131"/>
      <c r="AS422" s="132"/>
    </row>
    <row r="423" spans="1:45" s="73" customFormat="1" ht="56.1" customHeight="1">
      <c r="A423" s="50" t="s">
        <v>104</v>
      </c>
      <c r="B423" s="237">
        <v>1</v>
      </c>
      <c r="C423" s="345" t="s">
        <v>754</v>
      </c>
      <c r="D423" s="93">
        <v>1</v>
      </c>
      <c r="E423" s="47">
        <v>1</v>
      </c>
      <c r="F423" s="47">
        <f>E423*AL423</f>
        <v>6000</v>
      </c>
      <c r="G423" s="47"/>
      <c r="H423" s="47"/>
      <c r="I423" s="47"/>
      <c r="J423" s="47"/>
      <c r="K423" s="47"/>
      <c r="L423" s="47">
        <v>1</v>
      </c>
      <c r="M423" s="88"/>
      <c r="N423" s="39" t="s">
        <v>131</v>
      </c>
      <c r="O423" s="105" t="s">
        <v>109</v>
      </c>
      <c r="P423" s="105" t="s">
        <v>35</v>
      </c>
      <c r="Q423" s="39"/>
      <c r="R423" s="39"/>
      <c r="S423" s="39"/>
      <c r="T423" s="39" t="s">
        <v>115</v>
      </c>
      <c r="U423" s="39"/>
      <c r="V423" s="39" t="s">
        <v>755</v>
      </c>
      <c r="W423" s="47">
        <v>29150</v>
      </c>
      <c r="X423" s="120"/>
      <c r="Y423" s="47">
        <v>26400</v>
      </c>
      <c r="Z423" s="120"/>
      <c r="AA423" s="47">
        <v>26400</v>
      </c>
      <c r="AB423" s="120">
        <v>26400</v>
      </c>
      <c r="AC423" s="120"/>
      <c r="AD423" s="120"/>
      <c r="AE423" s="120"/>
      <c r="AF423" s="120"/>
      <c r="AG423" s="120"/>
      <c r="AH423" s="120"/>
      <c r="AI423" s="120"/>
      <c r="AJ423" s="47"/>
      <c r="AK423" s="120">
        <v>6000</v>
      </c>
      <c r="AL423" s="47">
        <f t="shared" ref="AL423" si="846">AM423+AN423+AO423</f>
        <v>6000</v>
      </c>
      <c r="AM423" s="47">
        <v>6000</v>
      </c>
      <c r="AN423" s="47"/>
      <c r="AO423" s="47"/>
      <c r="AP423" s="47"/>
      <c r="AQ423" s="47"/>
      <c r="AR423" s="48"/>
      <c r="AS423" s="49"/>
    </row>
    <row r="424" spans="1:45" s="50" customFormat="1" ht="16.5" customHeight="1">
      <c r="B424" s="36"/>
      <c r="C424" s="340"/>
      <c r="D424" s="247"/>
      <c r="E424" s="43"/>
      <c r="F424" s="43"/>
      <c r="G424" s="43"/>
      <c r="H424" s="43"/>
      <c r="I424" s="43"/>
      <c r="J424" s="43"/>
      <c r="K424" s="43"/>
      <c r="L424" s="43"/>
      <c r="M424" s="246"/>
      <c r="N424" s="39"/>
      <c r="O424" s="39"/>
      <c r="P424" s="39"/>
      <c r="Q424" s="39"/>
      <c r="R424" s="39"/>
      <c r="S424" s="39"/>
      <c r="T424" s="39"/>
      <c r="U424" s="39"/>
      <c r="V424" s="39"/>
      <c r="W424" s="43"/>
      <c r="X424" s="235"/>
      <c r="Y424" s="43"/>
      <c r="Z424" s="235"/>
      <c r="AA424" s="43"/>
      <c r="AB424" s="235"/>
      <c r="AC424" s="235"/>
      <c r="AD424" s="235"/>
      <c r="AE424" s="235"/>
      <c r="AF424" s="235"/>
      <c r="AG424" s="235"/>
      <c r="AH424" s="235"/>
      <c r="AI424" s="235"/>
      <c r="AJ424" s="43"/>
      <c r="AK424" s="235"/>
      <c r="AL424" s="43"/>
      <c r="AM424" s="43"/>
      <c r="AN424" s="43"/>
      <c r="AO424" s="43"/>
      <c r="AP424" s="43"/>
      <c r="AQ424" s="47"/>
      <c r="AR424" s="48">
        <f t="shared" ref="AR424:AR439" si="847">AA424-(AF424+AI424+AL424)</f>
        <v>0</v>
      </c>
      <c r="AS424" s="49" t="e">
        <f>#REF!-AL424</f>
        <v>#REF!</v>
      </c>
    </row>
    <row r="425" spans="1:45" s="50" customFormat="1" ht="54.6" customHeight="1">
      <c r="B425" s="149" t="s">
        <v>1057</v>
      </c>
      <c r="C425" s="358" t="s">
        <v>102</v>
      </c>
      <c r="D425" s="247">
        <f t="shared" ref="D425:J425" si="848">D426</f>
        <v>26</v>
      </c>
      <c r="E425" s="43">
        <f t="shared" si="848"/>
        <v>10</v>
      </c>
      <c r="F425" s="43">
        <f t="shared" si="848"/>
        <v>205000</v>
      </c>
      <c r="G425" s="43">
        <f t="shared" si="848"/>
        <v>10</v>
      </c>
      <c r="H425" s="43">
        <f t="shared" si="848"/>
        <v>161920</v>
      </c>
      <c r="I425" s="43">
        <f t="shared" si="848"/>
        <v>6</v>
      </c>
      <c r="J425" s="43">
        <f t="shared" si="848"/>
        <v>103000</v>
      </c>
      <c r="K425" s="43" t="e">
        <f t="shared" ref="K425:M425" si="849">K426</f>
        <v>#REF!</v>
      </c>
      <c r="L425" s="43" t="e">
        <f t="shared" si="849"/>
        <v>#REF!</v>
      </c>
      <c r="M425" s="246" t="e">
        <f t="shared" si="849"/>
        <v>#REF!</v>
      </c>
      <c r="N425" s="39"/>
      <c r="O425" s="39"/>
      <c r="P425" s="39"/>
      <c r="Q425" s="39"/>
      <c r="R425" s="39"/>
      <c r="S425" s="93"/>
      <c r="T425" s="39"/>
      <c r="U425" s="39"/>
      <c r="V425" s="39"/>
      <c r="W425" s="43">
        <f t="shared" ref="W425" si="850">W426</f>
        <v>2227709.5700000003</v>
      </c>
      <c r="X425" s="235" t="e">
        <f t="shared" ref="X425" si="851">X426</f>
        <v>#REF!</v>
      </c>
      <c r="Y425" s="43">
        <f t="shared" ref="Y425" si="852">Y426</f>
        <v>2218502.5700000003</v>
      </c>
      <c r="Z425" s="235">
        <f t="shared" ref="Z425" si="853">Z426</f>
        <v>25000</v>
      </c>
      <c r="AA425" s="43">
        <f t="shared" ref="AA425" si="854">AA426</f>
        <v>1013500</v>
      </c>
      <c r="AB425" s="235">
        <f t="shared" ref="AB425" si="855">AB426</f>
        <v>684500</v>
      </c>
      <c r="AC425" s="235">
        <f t="shared" ref="AC425" si="856">AC426</f>
        <v>278000</v>
      </c>
      <c r="AD425" s="235">
        <f t="shared" ref="AD425" si="857">AD426</f>
        <v>0</v>
      </c>
      <c r="AE425" s="235">
        <f t="shared" ref="AE425" si="858">AE426</f>
        <v>0</v>
      </c>
      <c r="AF425" s="235">
        <f t="shared" ref="AF425" si="859">AF426</f>
        <v>63000</v>
      </c>
      <c r="AG425" s="235">
        <f t="shared" ref="AG425" si="860">AG426</f>
        <v>187380</v>
      </c>
      <c r="AH425" s="235">
        <f t="shared" ref="AH425" si="861">AH426</f>
        <v>37247.115000000005</v>
      </c>
      <c r="AI425" s="235">
        <f t="shared" ref="AI425:AJ425" si="862">AI426</f>
        <v>201080</v>
      </c>
      <c r="AJ425" s="43">
        <f t="shared" si="862"/>
        <v>264080</v>
      </c>
      <c r="AK425" s="235">
        <f t="shared" ref="AK425" si="863">AK426</f>
        <v>562920</v>
      </c>
      <c r="AL425" s="43">
        <f t="shared" ref="AL425" si="864">AL426</f>
        <v>469920</v>
      </c>
      <c r="AM425" s="43">
        <f t="shared" ref="AM425" si="865">AM426</f>
        <v>266820</v>
      </c>
      <c r="AN425" s="43">
        <f t="shared" ref="AN425:AP425" si="866">AN426</f>
        <v>203100</v>
      </c>
      <c r="AO425" s="43">
        <f t="shared" si="866"/>
        <v>0</v>
      </c>
      <c r="AP425" s="43">
        <f t="shared" si="866"/>
        <v>0</v>
      </c>
      <c r="AQ425" s="47"/>
      <c r="AR425" s="48">
        <f t="shared" si="847"/>
        <v>279500</v>
      </c>
      <c r="AS425" s="49" t="e">
        <f>#REF!-AL425</f>
        <v>#REF!</v>
      </c>
    </row>
    <row r="426" spans="1:45" s="50" customFormat="1" ht="55.5" customHeight="1">
      <c r="B426" s="36" t="s">
        <v>50</v>
      </c>
      <c r="C426" s="358" t="s">
        <v>228</v>
      </c>
      <c r="D426" s="247">
        <f t="shared" ref="D426:J426" si="867">D427+D448+D461</f>
        <v>26</v>
      </c>
      <c r="E426" s="43">
        <f t="shared" si="867"/>
        <v>10</v>
      </c>
      <c r="F426" s="43">
        <f t="shared" si="867"/>
        <v>205000</v>
      </c>
      <c r="G426" s="43">
        <f t="shared" si="867"/>
        <v>10</v>
      </c>
      <c r="H426" s="43">
        <f t="shared" si="867"/>
        <v>161920</v>
      </c>
      <c r="I426" s="43">
        <f t="shared" si="867"/>
        <v>6</v>
      </c>
      <c r="J426" s="43">
        <f t="shared" si="867"/>
        <v>103000</v>
      </c>
      <c r="K426" s="43" t="e">
        <f>K427+K448+K461</f>
        <v>#REF!</v>
      </c>
      <c r="L426" s="43" t="e">
        <f>L427+L448+L461</f>
        <v>#REF!</v>
      </c>
      <c r="M426" s="246" t="e">
        <f>M427+M448+M461</f>
        <v>#REF!</v>
      </c>
      <c r="N426" s="39"/>
      <c r="O426" s="39"/>
      <c r="P426" s="39"/>
      <c r="Q426" s="39"/>
      <c r="R426" s="39"/>
      <c r="S426" s="39"/>
      <c r="T426" s="39"/>
      <c r="U426" s="39"/>
      <c r="V426" s="39"/>
      <c r="W426" s="43">
        <f t="shared" ref="W426:AP426" si="868">W427+W448+W461</f>
        <v>2227709.5700000003</v>
      </c>
      <c r="X426" s="235" t="e">
        <f t="shared" si="868"/>
        <v>#REF!</v>
      </c>
      <c r="Y426" s="43">
        <f t="shared" si="868"/>
        <v>2218502.5700000003</v>
      </c>
      <c r="Z426" s="235">
        <f t="shared" si="868"/>
        <v>25000</v>
      </c>
      <c r="AA426" s="43">
        <f t="shared" si="868"/>
        <v>1013500</v>
      </c>
      <c r="AB426" s="235">
        <f t="shared" si="868"/>
        <v>684500</v>
      </c>
      <c r="AC426" s="235">
        <f t="shared" si="868"/>
        <v>278000</v>
      </c>
      <c r="AD426" s="235">
        <f t="shared" si="868"/>
        <v>0</v>
      </c>
      <c r="AE426" s="235">
        <f t="shared" si="868"/>
        <v>0</v>
      </c>
      <c r="AF426" s="235">
        <f t="shared" si="868"/>
        <v>63000</v>
      </c>
      <c r="AG426" s="235">
        <f t="shared" si="868"/>
        <v>187380</v>
      </c>
      <c r="AH426" s="235">
        <f t="shared" si="868"/>
        <v>37247.115000000005</v>
      </c>
      <c r="AI426" s="235">
        <f t="shared" si="868"/>
        <v>201080</v>
      </c>
      <c r="AJ426" s="43">
        <f t="shared" si="868"/>
        <v>264080</v>
      </c>
      <c r="AK426" s="235">
        <f t="shared" si="868"/>
        <v>562920</v>
      </c>
      <c r="AL426" s="43">
        <f t="shared" si="868"/>
        <v>469920</v>
      </c>
      <c r="AM426" s="43">
        <f t="shared" si="868"/>
        <v>266820</v>
      </c>
      <c r="AN426" s="43">
        <f t="shared" si="868"/>
        <v>203100</v>
      </c>
      <c r="AO426" s="43">
        <f t="shared" si="868"/>
        <v>0</v>
      </c>
      <c r="AP426" s="43">
        <f t="shared" si="868"/>
        <v>0</v>
      </c>
      <c r="AQ426" s="47"/>
      <c r="AR426" s="48">
        <f t="shared" si="847"/>
        <v>279500</v>
      </c>
      <c r="AS426" s="49" t="e">
        <f>#REF!-AL426</f>
        <v>#REF!</v>
      </c>
    </row>
    <row r="427" spans="1:45" s="50" customFormat="1" ht="40.5" customHeight="1">
      <c r="B427" s="36" t="s">
        <v>106</v>
      </c>
      <c r="C427" s="340" t="s">
        <v>175</v>
      </c>
      <c r="D427" s="247">
        <f t="shared" ref="D427:J427" si="869">D428+D435</f>
        <v>10</v>
      </c>
      <c r="E427" s="43">
        <f t="shared" si="869"/>
        <v>0</v>
      </c>
      <c r="F427" s="43">
        <f t="shared" si="869"/>
        <v>0</v>
      </c>
      <c r="G427" s="43">
        <f t="shared" si="869"/>
        <v>10</v>
      </c>
      <c r="H427" s="43">
        <f t="shared" si="869"/>
        <v>161920</v>
      </c>
      <c r="I427" s="43">
        <f t="shared" si="869"/>
        <v>0</v>
      </c>
      <c r="J427" s="43">
        <f t="shared" si="869"/>
        <v>0</v>
      </c>
      <c r="K427" s="43" t="e">
        <f t="shared" ref="K427:M427" si="870">K428+K435</f>
        <v>#REF!</v>
      </c>
      <c r="L427" s="43" t="e">
        <f t="shared" si="870"/>
        <v>#REF!</v>
      </c>
      <c r="M427" s="246" t="e">
        <f t="shared" si="870"/>
        <v>#REF!</v>
      </c>
      <c r="N427" s="39"/>
      <c r="O427" s="39"/>
      <c r="P427" s="39"/>
      <c r="Q427" s="39"/>
      <c r="R427" s="39"/>
      <c r="S427" s="39"/>
      <c r="T427" s="39"/>
      <c r="U427" s="39"/>
      <c r="V427" s="39"/>
      <c r="W427" s="43">
        <f t="shared" ref="W427" si="871">W428+W435</f>
        <v>630698</v>
      </c>
      <c r="X427" s="235" t="e">
        <f t="shared" ref="X427" si="872">X428+X435</f>
        <v>#REF!</v>
      </c>
      <c r="Y427" s="43">
        <f t="shared" ref="Y427" si="873">Y428+Y435</f>
        <v>630126</v>
      </c>
      <c r="Z427" s="235">
        <f t="shared" ref="Z427" si="874">Z428+Z435</f>
        <v>25000</v>
      </c>
      <c r="AA427" s="43">
        <f t="shared" ref="AA427" si="875">AA428+AA435</f>
        <v>344000</v>
      </c>
      <c r="AB427" s="235">
        <f t="shared" ref="AB427" si="876">AB428+AB435</f>
        <v>234000</v>
      </c>
      <c r="AC427" s="235">
        <f t="shared" ref="AC427" si="877">AC428+AC435</f>
        <v>90000</v>
      </c>
      <c r="AD427" s="235">
        <f t="shared" ref="AD427" si="878">AD428+AD435</f>
        <v>0</v>
      </c>
      <c r="AE427" s="235">
        <f t="shared" ref="AE427" si="879">AE428+AE435</f>
        <v>0</v>
      </c>
      <c r="AF427" s="235">
        <f t="shared" ref="AF427" si="880">AF428+AF435</f>
        <v>62000</v>
      </c>
      <c r="AG427" s="235">
        <f t="shared" ref="AG427" si="881">AG428+AG435</f>
        <v>98380</v>
      </c>
      <c r="AH427" s="235">
        <f t="shared" ref="AH427" si="882">AH428+AH435</f>
        <v>22108.974000000002</v>
      </c>
      <c r="AI427" s="235">
        <f t="shared" ref="AI427:AJ427" si="883">AI428+AI435</f>
        <v>120080</v>
      </c>
      <c r="AJ427" s="43">
        <f t="shared" si="883"/>
        <v>182080</v>
      </c>
      <c r="AK427" s="235">
        <f t="shared" ref="AK427" si="884">AK428+AK435</f>
        <v>161920</v>
      </c>
      <c r="AL427" s="43">
        <f t="shared" ref="AL427" si="885">AL428+AL435</f>
        <v>161920</v>
      </c>
      <c r="AM427" s="43">
        <f t="shared" ref="AM427" si="886">AM428+AM435</f>
        <v>88820</v>
      </c>
      <c r="AN427" s="43">
        <f t="shared" ref="AN427:AP427" si="887">AN428+AN435</f>
        <v>73100</v>
      </c>
      <c r="AO427" s="43">
        <f t="shared" si="887"/>
        <v>0</v>
      </c>
      <c r="AP427" s="43">
        <f t="shared" si="887"/>
        <v>0</v>
      </c>
      <c r="AQ427" s="47"/>
      <c r="AR427" s="48">
        <f t="shared" si="847"/>
        <v>0</v>
      </c>
      <c r="AS427" s="49" t="e">
        <f>#REF!-AL427</f>
        <v>#REF!</v>
      </c>
    </row>
    <row r="428" spans="1:45" s="133" customFormat="1" ht="23.45" customHeight="1">
      <c r="B428" s="129" t="s">
        <v>118</v>
      </c>
      <c r="C428" s="348" t="s">
        <v>107</v>
      </c>
      <c r="D428" s="439">
        <f t="shared" ref="D428:J428" si="888">D429+D431+D433</f>
        <v>3</v>
      </c>
      <c r="E428" s="69">
        <f t="shared" si="888"/>
        <v>0</v>
      </c>
      <c r="F428" s="69">
        <f t="shared" si="888"/>
        <v>0</v>
      </c>
      <c r="G428" s="69">
        <f t="shared" si="888"/>
        <v>3</v>
      </c>
      <c r="H428" s="69">
        <f t="shared" si="888"/>
        <v>127000</v>
      </c>
      <c r="I428" s="69">
        <f t="shared" si="888"/>
        <v>0</v>
      </c>
      <c r="J428" s="69">
        <f t="shared" si="888"/>
        <v>0</v>
      </c>
      <c r="K428" s="69">
        <f t="shared" ref="K428:M428" si="889">K429+K431+K433</f>
        <v>0</v>
      </c>
      <c r="L428" s="69">
        <f t="shared" si="889"/>
        <v>3</v>
      </c>
      <c r="M428" s="273">
        <f t="shared" si="889"/>
        <v>0</v>
      </c>
      <c r="N428" s="122"/>
      <c r="O428" s="122"/>
      <c r="P428" s="122"/>
      <c r="Q428" s="122"/>
      <c r="R428" s="122"/>
      <c r="S428" s="122"/>
      <c r="T428" s="122"/>
      <c r="U428" s="122"/>
      <c r="V428" s="122"/>
      <c r="W428" s="69">
        <f t="shared" ref="W428" si="890">W429+W431+W433</f>
        <v>451942</v>
      </c>
      <c r="X428" s="236">
        <f t="shared" ref="X428" si="891">X429+X431+X433</f>
        <v>0</v>
      </c>
      <c r="Y428" s="69">
        <f t="shared" ref="Y428" si="892">Y429+Y431+Y433</f>
        <v>451942</v>
      </c>
      <c r="Z428" s="236">
        <f t="shared" ref="Z428" si="893">Z429+Z431+Z433</f>
        <v>0</v>
      </c>
      <c r="AA428" s="69">
        <f t="shared" ref="AA428" si="894">AA429+AA431+AA433</f>
        <v>245000</v>
      </c>
      <c r="AB428" s="236">
        <f t="shared" ref="AB428" si="895">AB429+AB431+AB433</f>
        <v>155000</v>
      </c>
      <c r="AC428" s="236">
        <f t="shared" ref="AC428" si="896">AC429+AC431+AC433</f>
        <v>90000</v>
      </c>
      <c r="AD428" s="236">
        <f t="shared" ref="AD428" si="897">AD429+AD431+AD433</f>
        <v>0</v>
      </c>
      <c r="AE428" s="236">
        <f t="shared" ref="AE428" si="898">AE429+AE431+AE433</f>
        <v>0</v>
      </c>
      <c r="AF428" s="236">
        <f t="shared" ref="AF428" si="899">AF429+AF431+AF433</f>
        <v>52000</v>
      </c>
      <c r="AG428" s="236">
        <f t="shared" ref="AG428" si="900">AG429+AG431+AG433</f>
        <v>60000</v>
      </c>
      <c r="AH428" s="236">
        <f t="shared" ref="AH428" si="901">AH429+AH431+AH433</f>
        <v>12514.415999999999</v>
      </c>
      <c r="AI428" s="236">
        <f t="shared" ref="AI428:AJ428" si="902">AI429+AI431+AI433</f>
        <v>66000</v>
      </c>
      <c r="AJ428" s="69">
        <f t="shared" si="902"/>
        <v>118000</v>
      </c>
      <c r="AK428" s="236">
        <f t="shared" ref="AK428" si="903">AK429+AK431+AK433</f>
        <v>127000</v>
      </c>
      <c r="AL428" s="69">
        <f t="shared" ref="AL428" si="904">AL429+AL431+AL433</f>
        <v>127000</v>
      </c>
      <c r="AM428" s="69">
        <f t="shared" ref="AM428" si="905">AM429+AM431+AM433</f>
        <v>63000</v>
      </c>
      <c r="AN428" s="69">
        <f t="shared" ref="AN428:AP428" si="906">AN429+AN431+AN433</f>
        <v>64000</v>
      </c>
      <c r="AO428" s="69">
        <f t="shared" si="906"/>
        <v>0</v>
      </c>
      <c r="AP428" s="69">
        <f t="shared" si="906"/>
        <v>0</v>
      </c>
      <c r="AQ428" s="130"/>
      <c r="AR428" s="131">
        <f t="shared" si="847"/>
        <v>0</v>
      </c>
      <c r="AS428" s="132" t="e">
        <f>#REF!-AL428</f>
        <v>#REF!</v>
      </c>
    </row>
    <row r="429" spans="1:45" s="50" customFormat="1" ht="33.6" customHeight="1">
      <c r="B429" s="36"/>
      <c r="C429" s="340" t="s">
        <v>979</v>
      </c>
      <c r="D429" s="247">
        <f t="shared" ref="D429:J429" si="907">D430</f>
        <v>1</v>
      </c>
      <c r="E429" s="43">
        <f t="shared" si="907"/>
        <v>0</v>
      </c>
      <c r="F429" s="43">
        <f t="shared" si="907"/>
        <v>0</v>
      </c>
      <c r="G429" s="43">
        <f t="shared" si="907"/>
        <v>1</v>
      </c>
      <c r="H429" s="43">
        <f t="shared" si="907"/>
        <v>38000</v>
      </c>
      <c r="I429" s="43">
        <f t="shared" si="907"/>
        <v>0</v>
      </c>
      <c r="J429" s="43">
        <f t="shared" si="907"/>
        <v>0</v>
      </c>
      <c r="K429" s="43">
        <f t="shared" ref="K429" si="908">K430</f>
        <v>0</v>
      </c>
      <c r="L429" s="43">
        <f t="shared" ref="L429" si="909">L430</f>
        <v>1</v>
      </c>
      <c r="M429" s="246">
        <f t="shared" ref="M429" si="910">M430</f>
        <v>0</v>
      </c>
      <c r="N429" s="39"/>
      <c r="O429" s="39"/>
      <c r="P429" s="39"/>
      <c r="Q429" s="39"/>
      <c r="R429" s="39"/>
      <c r="S429" s="39"/>
      <c r="T429" s="39"/>
      <c r="U429" s="39"/>
      <c r="V429" s="39"/>
      <c r="W429" s="43">
        <f t="shared" ref="W429" si="911">W430</f>
        <v>215740</v>
      </c>
      <c r="X429" s="235">
        <f t="shared" ref="X429" si="912">X430</f>
        <v>0</v>
      </c>
      <c r="Y429" s="43">
        <f t="shared" ref="Y429" si="913">Y430</f>
        <v>215740</v>
      </c>
      <c r="Z429" s="235">
        <f t="shared" ref="Z429" si="914">Z430</f>
        <v>0</v>
      </c>
      <c r="AA429" s="43">
        <f t="shared" ref="AA429" si="915">AA430</f>
        <v>100000</v>
      </c>
      <c r="AB429" s="235">
        <f t="shared" ref="AB429" si="916">AB430</f>
        <v>100000</v>
      </c>
      <c r="AC429" s="235">
        <f t="shared" ref="AC429" si="917">AC430</f>
        <v>0</v>
      </c>
      <c r="AD429" s="235">
        <f t="shared" ref="AD429" si="918">AD430</f>
        <v>0</v>
      </c>
      <c r="AE429" s="235">
        <f t="shared" ref="AE429" si="919">AE430</f>
        <v>0</v>
      </c>
      <c r="AF429" s="235">
        <f t="shared" ref="AF429" si="920">AF430</f>
        <v>47000</v>
      </c>
      <c r="AG429" s="235">
        <f t="shared" ref="AG429" si="921">AG430</f>
        <v>15000</v>
      </c>
      <c r="AH429" s="235">
        <f t="shared" ref="AH429" si="922">AH430</f>
        <v>249.703</v>
      </c>
      <c r="AI429" s="235">
        <f t="shared" ref="AI429:AJ429" si="923">AI430</f>
        <v>15000</v>
      </c>
      <c r="AJ429" s="43">
        <f t="shared" si="923"/>
        <v>62000</v>
      </c>
      <c r="AK429" s="235">
        <f t="shared" ref="AK429" si="924">AK430</f>
        <v>38000</v>
      </c>
      <c r="AL429" s="43">
        <f t="shared" ref="AL429" si="925">AL430</f>
        <v>38000</v>
      </c>
      <c r="AM429" s="43">
        <f t="shared" ref="AM429" si="926">AM430</f>
        <v>38000</v>
      </c>
      <c r="AN429" s="43">
        <f t="shared" ref="AN429" si="927">AN430</f>
        <v>0</v>
      </c>
      <c r="AO429" s="43">
        <f t="shared" ref="AO429" si="928">AO430</f>
        <v>0</v>
      </c>
      <c r="AP429" s="43"/>
      <c r="AQ429" s="47"/>
      <c r="AR429" s="48">
        <f t="shared" si="847"/>
        <v>0</v>
      </c>
      <c r="AS429" s="49" t="e">
        <f>#REF!-AL429</f>
        <v>#REF!</v>
      </c>
    </row>
    <row r="430" spans="1:45" s="50" customFormat="1" ht="75.95" customHeight="1">
      <c r="A430" s="50" t="s">
        <v>104</v>
      </c>
      <c r="B430" s="237">
        <v>1</v>
      </c>
      <c r="C430" s="125" t="s">
        <v>454</v>
      </c>
      <c r="D430" s="38">
        <v>1</v>
      </c>
      <c r="E430" s="47"/>
      <c r="F430" s="47"/>
      <c r="G430" s="68">
        <v>1</v>
      </c>
      <c r="H430" s="47">
        <f>G430*AL430</f>
        <v>38000</v>
      </c>
      <c r="I430" s="47"/>
      <c r="J430" s="47"/>
      <c r="K430" s="47"/>
      <c r="L430" s="68">
        <v>1</v>
      </c>
      <c r="M430" s="88"/>
      <c r="N430" s="40" t="s">
        <v>195</v>
      </c>
      <c r="O430" s="39" t="s">
        <v>455</v>
      </c>
      <c r="P430" s="39" t="s">
        <v>456</v>
      </c>
      <c r="Q430" s="150">
        <v>7891589</v>
      </c>
      <c r="R430" s="40"/>
      <c r="S430" s="37"/>
      <c r="T430" s="41" t="s">
        <v>114</v>
      </c>
      <c r="U430" s="39"/>
      <c r="V430" s="90" t="s">
        <v>984</v>
      </c>
      <c r="W430" s="62">
        <v>215740</v>
      </c>
      <c r="X430" s="250"/>
      <c r="Y430" s="62">
        <v>215740</v>
      </c>
      <c r="Z430" s="235"/>
      <c r="AA430" s="68">
        <v>100000</v>
      </c>
      <c r="AB430" s="250">
        <v>100000</v>
      </c>
      <c r="AC430" s="250"/>
      <c r="AD430" s="235"/>
      <c r="AE430" s="235"/>
      <c r="AF430" s="250">
        <v>47000</v>
      </c>
      <c r="AG430" s="250">
        <v>15000</v>
      </c>
      <c r="AH430" s="213">
        <v>249.703</v>
      </c>
      <c r="AI430" s="250">
        <v>15000</v>
      </c>
      <c r="AJ430" s="47">
        <f>AF430+AI430</f>
        <v>62000</v>
      </c>
      <c r="AK430" s="265">
        <v>38000</v>
      </c>
      <c r="AL430" s="47">
        <f t="shared" ref="AL430" si="929">AM430+AN430+AO430</f>
        <v>38000</v>
      </c>
      <c r="AM430" s="62">
        <v>38000</v>
      </c>
      <c r="AN430" s="62"/>
      <c r="AO430" s="43"/>
      <c r="AP430" s="43"/>
      <c r="AQ430" s="47"/>
      <c r="AR430" s="48">
        <f t="shared" si="847"/>
        <v>0</v>
      </c>
      <c r="AS430" s="49" t="e">
        <f>#REF!-AL430</f>
        <v>#REF!</v>
      </c>
    </row>
    <row r="431" spans="1:45" s="50" customFormat="1" ht="35.450000000000003" customHeight="1">
      <c r="B431" s="36"/>
      <c r="C431" s="340" t="s">
        <v>980</v>
      </c>
      <c r="D431" s="247">
        <f t="shared" ref="D431:M431" si="930">D432</f>
        <v>1</v>
      </c>
      <c r="E431" s="43">
        <f t="shared" si="930"/>
        <v>0</v>
      </c>
      <c r="F431" s="43">
        <f t="shared" si="930"/>
        <v>0</v>
      </c>
      <c r="G431" s="43">
        <f t="shared" si="930"/>
        <v>1</v>
      </c>
      <c r="H431" s="43">
        <f t="shared" si="930"/>
        <v>64000</v>
      </c>
      <c r="I431" s="43">
        <f t="shared" si="930"/>
        <v>0</v>
      </c>
      <c r="J431" s="43">
        <f t="shared" si="930"/>
        <v>0</v>
      </c>
      <c r="K431" s="43">
        <f t="shared" si="930"/>
        <v>0</v>
      </c>
      <c r="L431" s="43">
        <f t="shared" si="930"/>
        <v>1</v>
      </c>
      <c r="M431" s="43">
        <f t="shared" si="930"/>
        <v>0</v>
      </c>
      <c r="N431" s="39"/>
      <c r="O431" s="39"/>
      <c r="P431" s="39"/>
      <c r="Q431" s="39"/>
      <c r="R431" s="39"/>
      <c r="S431" s="39"/>
      <c r="T431" s="39"/>
      <c r="U431" s="39"/>
      <c r="V431" s="39"/>
      <c r="W431" s="43">
        <f t="shared" ref="W431" si="931">W432</f>
        <v>152094</v>
      </c>
      <c r="X431" s="235">
        <f t="shared" ref="X431" si="932">X432</f>
        <v>0</v>
      </c>
      <c r="Y431" s="43">
        <f t="shared" ref="Y431" si="933">Y432</f>
        <v>152094</v>
      </c>
      <c r="Z431" s="235">
        <f t="shared" ref="Z431" si="934">Z432</f>
        <v>0</v>
      </c>
      <c r="AA431" s="43">
        <f t="shared" ref="AA431" si="935">AA432</f>
        <v>90000</v>
      </c>
      <c r="AB431" s="235">
        <f t="shared" ref="AB431" si="936">AB432</f>
        <v>0</v>
      </c>
      <c r="AC431" s="235">
        <f t="shared" ref="AC431" si="937">AC432</f>
        <v>90000</v>
      </c>
      <c r="AD431" s="235">
        <f t="shared" ref="AD431" si="938">AD432</f>
        <v>0</v>
      </c>
      <c r="AE431" s="235">
        <f t="shared" ref="AE431" si="939">AE432</f>
        <v>0</v>
      </c>
      <c r="AF431" s="235">
        <f t="shared" ref="AF431" si="940">AF432</f>
        <v>0</v>
      </c>
      <c r="AG431" s="235">
        <f t="shared" ref="AG431" si="941">AG432</f>
        <v>20000</v>
      </c>
      <c r="AH431" s="235">
        <f t="shared" ref="AH431" si="942">AH432</f>
        <v>0</v>
      </c>
      <c r="AI431" s="235">
        <f t="shared" ref="AI431:AJ431" si="943">AI432</f>
        <v>26000</v>
      </c>
      <c r="AJ431" s="43">
        <f t="shared" si="943"/>
        <v>26000</v>
      </c>
      <c r="AK431" s="235">
        <f t="shared" ref="AK431" si="944">AK432</f>
        <v>64000</v>
      </c>
      <c r="AL431" s="43">
        <f t="shared" ref="AL431" si="945">AL432</f>
        <v>64000</v>
      </c>
      <c r="AM431" s="43">
        <f t="shared" ref="AM431" si="946">AM432</f>
        <v>0</v>
      </c>
      <c r="AN431" s="43">
        <f t="shared" ref="AN431" si="947">AN432</f>
        <v>64000</v>
      </c>
      <c r="AO431" s="43">
        <f t="shared" ref="AO431" si="948">AO432</f>
        <v>0</v>
      </c>
      <c r="AP431" s="43"/>
      <c r="AQ431" s="47"/>
      <c r="AR431" s="48">
        <f t="shared" si="847"/>
        <v>0</v>
      </c>
      <c r="AS431" s="49" t="e">
        <f>#REF!-AL431</f>
        <v>#REF!</v>
      </c>
    </row>
    <row r="432" spans="1:45" s="50" customFormat="1" ht="53.45" customHeight="1">
      <c r="A432" s="50" t="s">
        <v>104</v>
      </c>
      <c r="B432" s="237">
        <v>1</v>
      </c>
      <c r="C432" s="102" t="s">
        <v>466</v>
      </c>
      <c r="D432" s="38">
        <v>1</v>
      </c>
      <c r="E432" s="47"/>
      <c r="F432" s="47"/>
      <c r="G432" s="68">
        <v>1</v>
      </c>
      <c r="H432" s="47">
        <f>G432*AL432</f>
        <v>64000</v>
      </c>
      <c r="I432" s="47"/>
      <c r="J432" s="47"/>
      <c r="K432" s="47"/>
      <c r="L432" s="68">
        <v>1</v>
      </c>
      <c r="M432" s="88"/>
      <c r="N432" s="40" t="s">
        <v>467</v>
      </c>
      <c r="O432" s="39" t="s">
        <v>468</v>
      </c>
      <c r="P432" s="41" t="s">
        <v>469</v>
      </c>
      <c r="Q432" s="40">
        <v>7840620</v>
      </c>
      <c r="R432" s="40"/>
      <c r="S432" s="40"/>
      <c r="T432" s="41" t="s">
        <v>114</v>
      </c>
      <c r="U432" s="39"/>
      <c r="V432" s="41" t="s">
        <v>470</v>
      </c>
      <c r="W432" s="42">
        <v>152094</v>
      </c>
      <c r="X432" s="250"/>
      <c r="Y432" s="42">
        <v>152094</v>
      </c>
      <c r="Z432" s="235"/>
      <c r="AA432" s="42">
        <v>90000</v>
      </c>
      <c r="AB432" s="235"/>
      <c r="AC432" s="218">
        <v>90000</v>
      </c>
      <c r="AD432" s="235"/>
      <c r="AE432" s="235"/>
      <c r="AF432" s="235"/>
      <c r="AG432" s="218">
        <v>20000</v>
      </c>
      <c r="AH432" s="235"/>
      <c r="AI432" s="218">
        <v>26000</v>
      </c>
      <c r="AJ432" s="47">
        <f>AF432+AI432</f>
        <v>26000</v>
      </c>
      <c r="AK432" s="218">
        <v>64000</v>
      </c>
      <c r="AL432" s="47">
        <f t="shared" ref="AL432" si="949">AM432+AN432+AO432</f>
        <v>64000</v>
      </c>
      <c r="AM432" s="43"/>
      <c r="AN432" s="42">
        <v>64000</v>
      </c>
      <c r="AO432" s="43"/>
      <c r="AP432" s="43"/>
      <c r="AQ432" s="47"/>
      <c r="AR432" s="48">
        <f t="shared" si="847"/>
        <v>0</v>
      </c>
      <c r="AS432" s="49" t="e">
        <f>#REF!-AL432</f>
        <v>#REF!</v>
      </c>
    </row>
    <row r="433" spans="1:45" s="50" customFormat="1" ht="33.6" customHeight="1">
      <c r="B433" s="36"/>
      <c r="C433" s="340" t="s">
        <v>961</v>
      </c>
      <c r="D433" s="247">
        <f>D434</f>
        <v>1</v>
      </c>
      <c r="E433" s="43">
        <f t="shared" ref="E433:M433" si="950">E434</f>
        <v>0</v>
      </c>
      <c r="F433" s="43"/>
      <c r="G433" s="43">
        <f t="shared" si="950"/>
        <v>1</v>
      </c>
      <c r="H433" s="43">
        <f t="shared" si="950"/>
        <v>25000</v>
      </c>
      <c r="I433" s="43">
        <f t="shared" si="950"/>
        <v>0</v>
      </c>
      <c r="J433" s="43">
        <f t="shared" si="950"/>
        <v>0</v>
      </c>
      <c r="K433" s="43">
        <f t="shared" si="950"/>
        <v>0</v>
      </c>
      <c r="L433" s="43">
        <f t="shared" si="950"/>
        <v>1</v>
      </c>
      <c r="M433" s="43">
        <f t="shared" si="950"/>
        <v>0</v>
      </c>
      <c r="N433" s="39"/>
      <c r="O433" s="39"/>
      <c r="P433" s="39"/>
      <c r="Q433" s="39"/>
      <c r="R433" s="39"/>
      <c r="S433" s="39"/>
      <c r="T433" s="39"/>
      <c r="U433" s="39"/>
      <c r="V433" s="39"/>
      <c r="W433" s="43">
        <f t="shared" ref="W433" si="951">W434</f>
        <v>84108</v>
      </c>
      <c r="X433" s="235">
        <f t="shared" ref="X433" si="952">X434</f>
        <v>0</v>
      </c>
      <c r="Y433" s="43">
        <f t="shared" ref="Y433" si="953">Y434</f>
        <v>84108</v>
      </c>
      <c r="Z433" s="235">
        <f t="shared" ref="Z433" si="954">Z434</f>
        <v>0</v>
      </c>
      <c r="AA433" s="43">
        <f t="shared" ref="AA433" si="955">AA434</f>
        <v>55000</v>
      </c>
      <c r="AB433" s="235">
        <f t="shared" ref="AB433" si="956">AB434</f>
        <v>55000</v>
      </c>
      <c r="AC433" s="235">
        <f t="shared" ref="AC433" si="957">AC434</f>
        <v>0</v>
      </c>
      <c r="AD433" s="235">
        <f t="shared" ref="AD433" si="958">AD434</f>
        <v>0</v>
      </c>
      <c r="AE433" s="235">
        <f t="shared" ref="AE433" si="959">AE434</f>
        <v>0</v>
      </c>
      <c r="AF433" s="235">
        <f t="shared" ref="AF433" si="960">AF434</f>
        <v>5000</v>
      </c>
      <c r="AG433" s="235">
        <f t="shared" ref="AG433" si="961">AG434</f>
        <v>25000</v>
      </c>
      <c r="AH433" s="235">
        <f t="shared" ref="AH433" si="962">AH434</f>
        <v>12264.713</v>
      </c>
      <c r="AI433" s="235">
        <f t="shared" ref="AI433:AJ433" si="963">AI434</f>
        <v>25000</v>
      </c>
      <c r="AJ433" s="43">
        <f t="shared" si="963"/>
        <v>30000</v>
      </c>
      <c r="AK433" s="235">
        <f t="shared" ref="AK433" si="964">AK434</f>
        <v>25000</v>
      </c>
      <c r="AL433" s="43">
        <f t="shared" ref="AL433" si="965">AL434</f>
        <v>25000</v>
      </c>
      <c r="AM433" s="43">
        <f t="shared" ref="AM433" si="966">AM434</f>
        <v>25000</v>
      </c>
      <c r="AN433" s="43">
        <f t="shared" ref="AN433" si="967">AN434</f>
        <v>0</v>
      </c>
      <c r="AO433" s="43">
        <f t="shared" ref="AO433" si="968">AO434</f>
        <v>0</v>
      </c>
      <c r="AP433" s="43"/>
      <c r="AQ433" s="47"/>
      <c r="AR433" s="48">
        <f t="shared" si="847"/>
        <v>0</v>
      </c>
      <c r="AS433" s="49" t="e">
        <f>#REF!-AL433</f>
        <v>#REF!</v>
      </c>
    </row>
    <row r="434" spans="1:45" s="50" customFormat="1" ht="56.1" customHeight="1">
      <c r="B434" s="237">
        <v>1</v>
      </c>
      <c r="C434" s="102" t="s">
        <v>472</v>
      </c>
      <c r="D434" s="38">
        <v>1</v>
      </c>
      <c r="E434" s="47"/>
      <c r="F434" s="47"/>
      <c r="G434" s="68">
        <v>1</v>
      </c>
      <c r="H434" s="47">
        <f>G434*AL434</f>
        <v>25000</v>
      </c>
      <c r="I434" s="47"/>
      <c r="J434" s="47"/>
      <c r="K434" s="47"/>
      <c r="L434" s="68">
        <v>1</v>
      </c>
      <c r="M434" s="88"/>
      <c r="N434" s="40" t="s">
        <v>108</v>
      </c>
      <c r="O434" s="39" t="s">
        <v>473</v>
      </c>
      <c r="P434" s="41" t="s">
        <v>474</v>
      </c>
      <c r="Q434" s="41">
        <v>7876393</v>
      </c>
      <c r="R434" s="40"/>
      <c r="S434" s="40"/>
      <c r="T434" s="41" t="s">
        <v>114</v>
      </c>
      <c r="U434" s="39"/>
      <c r="V434" s="41" t="s">
        <v>793</v>
      </c>
      <c r="W434" s="42">
        <v>84108</v>
      </c>
      <c r="X434" s="218"/>
      <c r="Y434" s="42">
        <v>84108</v>
      </c>
      <c r="Z434" s="235"/>
      <c r="AA434" s="42">
        <v>55000</v>
      </c>
      <c r="AB434" s="218">
        <v>55000</v>
      </c>
      <c r="AC434" s="235"/>
      <c r="AD434" s="235"/>
      <c r="AE434" s="235"/>
      <c r="AF434" s="218">
        <v>5000</v>
      </c>
      <c r="AG434" s="218">
        <v>25000</v>
      </c>
      <c r="AH434" s="213">
        <v>12264.713</v>
      </c>
      <c r="AI434" s="218">
        <v>25000</v>
      </c>
      <c r="AJ434" s="47">
        <f>AF434+AI434</f>
        <v>30000</v>
      </c>
      <c r="AK434" s="217">
        <v>25000</v>
      </c>
      <c r="AL434" s="47">
        <f t="shared" ref="AL434" si="969">AM434+AN434+AO434</f>
        <v>25000</v>
      </c>
      <c r="AM434" s="46">
        <v>25000</v>
      </c>
      <c r="AN434" s="43"/>
      <c r="AO434" s="43"/>
      <c r="AP434" s="43"/>
      <c r="AQ434" s="47"/>
      <c r="AR434" s="48">
        <f t="shared" si="847"/>
        <v>0</v>
      </c>
      <c r="AS434" s="49" t="e">
        <f>#REF!-AL434</f>
        <v>#REF!</v>
      </c>
    </row>
    <row r="435" spans="1:45" s="133" customFormat="1" ht="21" customHeight="1">
      <c r="B435" s="129" t="s">
        <v>568</v>
      </c>
      <c r="C435" s="348" t="s">
        <v>119</v>
      </c>
      <c r="D435" s="439">
        <f t="shared" ref="D435:J435" si="970">D436+D438+D443+D445</f>
        <v>7</v>
      </c>
      <c r="E435" s="69">
        <f t="shared" si="970"/>
        <v>0</v>
      </c>
      <c r="F435" s="69">
        <f t="shared" si="970"/>
        <v>0</v>
      </c>
      <c r="G435" s="69">
        <f t="shared" si="970"/>
        <v>7</v>
      </c>
      <c r="H435" s="69">
        <f t="shared" si="970"/>
        <v>34920</v>
      </c>
      <c r="I435" s="69">
        <f t="shared" si="970"/>
        <v>0</v>
      </c>
      <c r="J435" s="69">
        <f t="shared" si="970"/>
        <v>0</v>
      </c>
      <c r="K435" s="69" t="e">
        <f>K436+K438+#REF!+K443+K445</f>
        <v>#REF!</v>
      </c>
      <c r="L435" s="69" t="e">
        <f>L436+L438+#REF!+L443+L445</f>
        <v>#REF!</v>
      </c>
      <c r="M435" s="69" t="e">
        <f>M436+M438+#REF!+M443+M445</f>
        <v>#REF!</v>
      </c>
      <c r="N435" s="69"/>
      <c r="O435" s="122"/>
      <c r="P435" s="122"/>
      <c r="Q435" s="122"/>
      <c r="R435" s="122"/>
      <c r="S435" s="122"/>
      <c r="T435" s="122"/>
      <c r="U435" s="122"/>
      <c r="V435" s="122"/>
      <c r="W435" s="69">
        <f>W436+W438+W443+W445</f>
        <v>178756</v>
      </c>
      <c r="X435" s="236" t="e">
        <f>X436+X438+#REF!+X443+X445</f>
        <v>#REF!</v>
      </c>
      <c r="Y435" s="69">
        <f t="shared" ref="Y435:AP435" si="971">Y436+Y438+Y443+Y445</f>
        <v>178184</v>
      </c>
      <c r="Z435" s="69">
        <f t="shared" si="971"/>
        <v>25000</v>
      </c>
      <c r="AA435" s="69">
        <f t="shared" si="971"/>
        <v>99000</v>
      </c>
      <c r="AB435" s="236">
        <f t="shared" si="971"/>
        <v>79000</v>
      </c>
      <c r="AC435" s="236">
        <f t="shared" si="971"/>
        <v>0</v>
      </c>
      <c r="AD435" s="236">
        <f t="shared" si="971"/>
        <v>0</v>
      </c>
      <c r="AE435" s="236">
        <f t="shared" si="971"/>
        <v>0</v>
      </c>
      <c r="AF435" s="236">
        <f t="shared" si="971"/>
        <v>10000</v>
      </c>
      <c r="AG435" s="236">
        <f t="shared" si="971"/>
        <v>38380</v>
      </c>
      <c r="AH435" s="236">
        <f t="shared" si="971"/>
        <v>9594.5580000000009</v>
      </c>
      <c r="AI435" s="236">
        <f t="shared" si="971"/>
        <v>54080</v>
      </c>
      <c r="AJ435" s="69">
        <f t="shared" si="971"/>
        <v>64080</v>
      </c>
      <c r="AK435" s="236">
        <f t="shared" si="971"/>
        <v>34920</v>
      </c>
      <c r="AL435" s="69">
        <f t="shared" si="971"/>
        <v>34920</v>
      </c>
      <c r="AM435" s="69">
        <f t="shared" si="971"/>
        <v>25820</v>
      </c>
      <c r="AN435" s="69">
        <f t="shared" si="971"/>
        <v>9100</v>
      </c>
      <c r="AO435" s="69">
        <f t="shared" si="971"/>
        <v>0</v>
      </c>
      <c r="AP435" s="69">
        <f t="shared" si="971"/>
        <v>0</v>
      </c>
      <c r="AQ435" s="130"/>
      <c r="AR435" s="131">
        <f t="shared" si="847"/>
        <v>0</v>
      </c>
      <c r="AS435" s="132" t="e">
        <f>#REF!-AL435</f>
        <v>#REF!</v>
      </c>
    </row>
    <row r="436" spans="1:45" s="50" customFormat="1" ht="45" customHeight="1">
      <c r="B436" s="36"/>
      <c r="C436" s="340" t="s">
        <v>981</v>
      </c>
      <c r="D436" s="127">
        <f>D437</f>
        <v>1</v>
      </c>
      <c r="E436" s="56">
        <f t="shared" ref="E436:M436" si="972">E437</f>
        <v>0</v>
      </c>
      <c r="F436" s="56"/>
      <c r="G436" s="56">
        <f t="shared" si="972"/>
        <v>1</v>
      </c>
      <c r="H436" s="56">
        <f t="shared" si="972"/>
        <v>4000</v>
      </c>
      <c r="I436" s="56">
        <f t="shared" si="972"/>
        <v>0</v>
      </c>
      <c r="J436" s="56">
        <f t="shared" si="972"/>
        <v>0</v>
      </c>
      <c r="K436" s="56">
        <f t="shared" si="972"/>
        <v>0</v>
      </c>
      <c r="L436" s="56">
        <f t="shared" si="972"/>
        <v>1</v>
      </c>
      <c r="M436" s="56">
        <f t="shared" si="972"/>
        <v>0</v>
      </c>
      <c r="N436" s="56"/>
      <c r="O436" s="39"/>
      <c r="P436" s="39"/>
      <c r="Q436" s="39"/>
      <c r="R436" s="39"/>
      <c r="S436" s="39"/>
      <c r="T436" s="39"/>
      <c r="U436" s="39"/>
      <c r="V436" s="39"/>
      <c r="W436" s="56">
        <f t="shared" ref="W436" si="973">W437</f>
        <v>14572</v>
      </c>
      <c r="X436" s="234">
        <f t="shared" ref="X436" si="974">X437</f>
        <v>0</v>
      </c>
      <c r="Y436" s="56">
        <f t="shared" ref="Y436" si="975">Y437</f>
        <v>14000</v>
      </c>
      <c r="Z436" s="234">
        <f t="shared" ref="Z436" si="976">Z437</f>
        <v>0</v>
      </c>
      <c r="AA436" s="56">
        <f t="shared" ref="AA436" si="977">AA437</f>
        <v>14000</v>
      </c>
      <c r="AB436" s="234">
        <f t="shared" ref="AB436" si="978">AB437</f>
        <v>14000</v>
      </c>
      <c r="AC436" s="234">
        <f t="shared" ref="AC436" si="979">AC437</f>
        <v>0</v>
      </c>
      <c r="AD436" s="234">
        <f t="shared" ref="AD436" si="980">AD437</f>
        <v>0</v>
      </c>
      <c r="AE436" s="234">
        <f t="shared" ref="AE436" si="981">AE437</f>
        <v>0</v>
      </c>
      <c r="AF436" s="234">
        <f t="shared" ref="AF436" si="982">AF437</f>
        <v>0</v>
      </c>
      <c r="AG436" s="234">
        <f t="shared" ref="AG436" si="983">AG437</f>
        <v>4000</v>
      </c>
      <c r="AH436" s="234">
        <f t="shared" ref="AH436" si="984">AH437</f>
        <v>4000</v>
      </c>
      <c r="AI436" s="234">
        <f t="shared" ref="AI436:AJ436" si="985">AI437</f>
        <v>10000</v>
      </c>
      <c r="AJ436" s="56">
        <f t="shared" si="985"/>
        <v>10000</v>
      </c>
      <c r="AK436" s="234">
        <f t="shared" ref="AK436" si="986">AK437</f>
        <v>4000</v>
      </c>
      <c r="AL436" s="56">
        <f t="shared" ref="AL436" si="987">AL437</f>
        <v>4000</v>
      </c>
      <c r="AM436" s="56">
        <f t="shared" ref="AM436" si="988">AM437</f>
        <v>4000</v>
      </c>
      <c r="AN436" s="56">
        <f t="shared" ref="AN436" si="989">AN437</f>
        <v>0</v>
      </c>
      <c r="AO436" s="56">
        <f t="shared" ref="AO436" si="990">AO437</f>
        <v>0</v>
      </c>
      <c r="AP436" s="43"/>
      <c r="AQ436" s="47"/>
      <c r="AR436" s="48">
        <f t="shared" si="847"/>
        <v>0</v>
      </c>
      <c r="AS436" s="49" t="e">
        <f>#REF!-AL436</f>
        <v>#REF!</v>
      </c>
    </row>
    <row r="437" spans="1:45" s="50" customFormat="1" ht="54.95" customHeight="1">
      <c r="A437" s="50" t="s">
        <v>104</v>
      </c>
      <c r="B437" s="237">
        <v>1</v>
      </c>
      <c r="C437" s="125" t="s">
        <v>585</v>
      </c>
      <c r="D437" s="38">
        <v>1</v>
      </c>
      <c r="E437" s="47"/>
      <c r="F437" s="47"/>
      <c r="G437" s="68">
        <v>1</v>
      </c>
      <c r="H437" s="47">
        <f>G437*AL437</f>
        <v>4000</v>
      </c>
      <c r="I437" s="47"/>
      <c r="J437" s="47"/>
      <c r="K437" s="47"/>
      <c r="L437" s="68">
        <v>1</v>
      </c>
      <c r="M437" s="88"/>
      <c r="N437" s="40" t="s">
        <v>136</v>
      </c>
      <c r="O437" s="39" t="s">
        <v>229</v>
      </c>
      <c r="P437" s="41" t="s">
        <v>230</v>
      </c>
      <c r="Q437" s="39">
        <v>7916277</v>
      </c>
      <c r="R437" s="40"/>
      <c r="S437" s="151" t="s">
        <v>231</v>
      </c>
      <c r="T437" s="39" t="s">
        <v>115</v>
      </c>
      <c r="U437" s="109"/>
      <c r="V437" s="109" t="s">
        <v>795</v>
      </c>
      <c r="W437" s="42">
        <v>14572</v>
      </c>
      <c r="X437" s="218"/>
      <c r="Y437" s="42">
        <v>14000</v>
      </c>
      <c r="Z437" s="235"/>
      <c r="AA437" s="42">
        <v>14000</v>
      </c>
      <c r="AB437" s="218">
        <v>14000</v>
      </c>
      <c r="AC437" s="235"/>
      <c r="AD437" s="235"/>
      <c r="AE437" s="235"/>
      <c r="AF437" s="235"/>
      <c r="AG437" s="120">
        <v>4000</v>
      </c>
      <c r="AH437" s="120">
        <v>4000</v>
      </c>
      <c r="AI437" s="120">
        <v>10000</v>
      </c>
      <c r="AJ437" s="47">
        <f>AF437+AI437</f>
        <v>10000</v>
      </c>
      <c r="AK437" s="120">
        <v>4000</v>
      </c>
      <c r="AL437" s="47">
        <f t="shared" ref="AL437" si="991">AM437+AN437+AO437</f>
        <v>4000</v>
      </c>
      <c r="AM437" s="47">
        <v>4000</v>
      </c>
      <c r="AN437" s="43"/>
      <c r="AO437" s="43"/>
      <c r="AP437" s="43"/>
      <c r="AQ437" s="47"/>
      <c r="AR437" s="48">
        <f t="shared" si="847"/>
        <v>0</v>
      </c>
      <c r="AS437" s="49" t="e">
        <f>#REF!-AL437</f>
        <v>#REF!</v>
      </c>
    </row>
    <row r="438" spans="1:45" s="50" customFormat="1" ht="36.6" customHeight="1">
      <c r="B438" s="36"/>
      <c r="C438" s="340" t="s">
        <v>953</v>
      </c>
      <c r="D438" s="127">
        <f t="shared" ref="D438:J438" si="992">D439+D440+D441+D442</f>
        <v>4</v>
      </c>
      <c r="E438" s="56">
        <f t="shared" si="992"/>
        <v>0</v>
      </c>
      <c r="F438" s="56">
        <f t="shared" si="992"/>
        <v>0</v>
      </c>
      <c r="G438" s="56">
        <f t="shared" si="992"/>
        <v>4</v>
      </c>
      <c r="H438" s="56">
        <f t="shared" si="992"/>
        <v>10300</v>
      </c>
      <c r="I438" s="56">
        <f t="shared" si="992"/>
        <v>0</v>
      </c>
      <c r="J438" s="56">
        <f t="shared" si="992"/>
        <v>0</v>
      </c>
      <c r="K438" s="56">
        <f t="shared" ref="K438:M438" si="993">K439</f>
        <v>0</v>
      </c>
      <c r="L438" s="56">
        <f t="shared" si="993"/>
        <v>1</v>
      </c>
      <c r="M438" s="56">
        <f t="shared" si="993"/>
        <v>0</v>
      </c>
      <c r="N438" s="39"/>
      <c r="O438" s="39"/>
      <c r="P438" s="39"/>
      <c r="Q438" s="39"/>
      <c r="R438" s="39"/>
      <c r="S438" s="39"/>
      <c r="T438" s="39"/>
      <c r="U438" s="39"/>
      <c r="V438" s="39"/>
      <c r="W438" s="56">
        <f>W439+W440+W441+W442</f>
        <v>80068</v>
      </c>
      <c r="X438" s="234">
        <f t="shared" ref="X438" si="994">X439</f>
        <v>0</v>
      </c>
      <c r="Y438" s="56">
        <f t="shared" ref="Y438:AP438" si="995">Y439+Y440+Y441+Y442</f>
        <v>80068</v>
      </c>
      <c r="Z438" s="56">
        <f t="shared" si="995"/>
        <v>25000</v>
      </c>
      <c r="AA438" s="56">
        <f t="shared" si="995"/>
        <v>38000</v>
      </c>
      <c r="AB438" s="234">
        <f t="shared" si="995"/>
        <v>18000</v>
      </c>
      <c r="AC438" s="234">
        <f t="shared" si="995"/>
        <v>0</v>
      </c>
      <c r="AD438" s="234">
        <f t="shared" si="995"/>
        <v>0</v>
      </c>
      <c r="AE438" s="234">
        <f t="shared" si="995"/>
        <v>0</v>
      </c>
      <c r="AF438" s="234">
        <f t="shared" si="995"/>
        <v>0</v>
      </c>
      <c r="AG438" s="234">
        <f t="shared" si="995"/>
        <v>18000</v>
      </c>
      <c r="AH438" s="234">
        <f t="shared" si="995"/>
        <v>0</v>
      </c>
      <c r="AI438" s="234">
        <f t="shared" si="995"/>
        <v>27700</v>
      </c>
      <c r="AJ438" s="56">
        <f t="shared" si="995"/>
        <v>27700</v>
      </c>
      <c r="AK438" s="234">
        <f t="shared" si="995"/>
        <v>10300</v>
      </c>
      <c r="AL438" s="56">
        <f t="shared" si="995"/>
        <v>10300</v>
      </c>
      <c r="AM438" s="56">
        <f t="shared" si="995"/>
        <v>1200</v>
      </c>
      <c r="AN438" s="56">
        <f t="shared" si="995"/>
        <v>9100</v>
      </c>
      <c r="AO438" s="56">
        <f t="shared" si="995"/>
        <v>0</v>
      </c>
      <c r="AP438" s="56">
        <f t="shared" si="995"/>
        <v>0</v>
      </c>
      <c r="AQ438" s="47"/>
      <c r="AR438" s="48">
        <f t="shared" si="847"/>
        <v>0</v>
      </c>
      <c r="AS438" s="49" t="e">
        <f>#REF!-AL438</f>
        <v>#REF!</v>
      </c>
    </row>
    <row r="439" spans="1:45" s="50" customFormat="1" ht="63" customHeight="1">
      <c r="B439" s="237">
        <v>1</v>
      </c>
      <c r="C439" s="102" t="s">
        <v>794</v>
      </c>
      <c r="D439" s="38">
        <v>1</v>
      </c>
      <c r="E439" s="47"/>
      <c r="F439" s="47"/>
      <c r="G439" s="68">
        <v>1</v>
      </c>
      <c r="H439" s="47">
        <f>G439*AL439</f>
        <v>1200</v>
      </c>
      <c r="I439" s="47"/>
      <c r="J439" s="47"/>
      <c r="K439" s="47"/>
      <c r="L439" s="68">
        <v>1</v>
      </c>
      <c r="M439" s="88"/>
      <c r="N439" s="40" t="s">
        <v>222</v>
      </c>
      <c r="O439" s="39" t="s">
        <v>302</v>
      </c>
      <c r="P439" s="39" t="s">
        <v>303</v>
      </c>
      <c r="Q439" s="152">
        <v>7820663</v>
      </c>
      <c r="R439" s="40"/>
      <c r="S439" s="37"/>
      <c r="T439" s="41" t="s">
        <v>170</v>
      </c>
      <c r="U439" s="39"/>
      <c r="V439" s="41" t="s">
        <v>796</v>
      </c>
      <c r="W439" s="68">
        <v>59576</v>
      </c>
      <c r="X439" s="250"/>
      <c r="Y439" s="68">
        <v>59576</v>
      </c>
      <c r="Z439" s="120">
        <v>25000</v>
      </c>
      <c r="AA439" s="47">
        <v>18000</v>
      </c>
      <c r="AB439" s="120">
        <v>18000</v>
      </c>
      <c r="AC439" s="235"/>
      <c r="AD439" s="235"/>
      <c r="AE439" s="235"/>
      <c r="AF439" s="235"/>
      <c r="AG439" s="120">
        <v>18000</v>
      </c>
      <c r="AH439" s="235"/>
      <c r="AI439" s="120">
        <v>16800</v>
      </c>
      <c r="AJ439" s="47">
        <f>AF439+AI439</f>
        <v>16800</v>
      </c>
      <c r="AK439" s="120">
        <v>1200</v>
      </c>
      <c r="AL439" s="47">
        <f t="shared" ref="AL439:AL446" si="996">AM439+AN439+AO439</f>
        <v>1200</v>
      </c>
      <c r="AM439" s="47">
        <v>1200</v>
      </c>
      <c r="AN439" s="43"/>
      <c r="AO439" s="43"/>
      <c r="AP439" s="43"/>
      <c r="AQ439" s="47"/>
      <c r="AR439" s="48">
        <f t="shared" si="847"/>
        <v>0</v>
      </c>
      <c r="AS439" s="49" t="e">
        <f>#REF!-AL439</f>
        <v>#REF!</v>
      </c>
    </row>
    <row r="440" spans="1:45" s="50" customFormat="1" ht="66" customHeight="1">
      <c r="B440" s="237">
        <v>2</v>
      </c>
      <c r="C440" s="102" t="s">
        <v>998</v>
      </c>
      <c r="D440" s="38">
        <v>1</v>
      </c>
      <c r="E440" s="47"/>
      <c r="F440" s="47"/>
      <c r="G440" s="68">
        <v>1</v>
      </c>
      <c r="H440" s="47">
        <f>G440*AL440</f>
        <v>2800</v>
      </c>
      <c r="I440" s="47"/>
      <c r="J440" s="47"/>
      <c r="K440" s="47"/>
      <c r="L440" s="68"/>
      <c r="M440" s="88"/>
      <c r="N440" s="40" t="s">
        <v>222</v>
      </c>
      <c r="O440" s="39" t="s">
        <v>302</v>
      </c>
      <c r="P440" s="39" t="s">
        <v>303</v>
      </c>
      <c r="Q440" s="152">
        <v>7908500</v>
      </c>
      <c r="R440" s="40"/>
      <c r="S440" s="37"/>
      <c r="T440" s="41" t="s">
        <v>114</v>
      </c>
      <c r="U440" s="39"/>
      <c r="V440" s="41" t="s">
        <v>1001</v>
      </c>
      <c r="W440" s="68">
        <v>5752</v>
      </c>
      <c r="X440" s="250"/>
      <c r="Y440" s="68">
        <v>5752</v>
      </c>
      <c r="Z440" s="120"/>
      <c r="AA440" s="47">
        <v>5600</v>
      </c>
      <c r="AB440" s="120"/>
      <c r="AC440" s="235"/>
      <c r="AD440" s="235"/>
      <c r="AE440" s="235"/>
      <c r="AF440" s="235"/>
      <c r="AG440" s="120"/>
      <c r="AH440" s="235"/>
      <c r="AI440" s="120">
        <v>2800</v>
      </c>
      <c r="AJ440" s="47">
        <f t="shared" ref="AJ440:AJ442" si="997">AF440+AI440</f>
        <v>2800</v>
      </c>
      <c r="AK440" s="120">
        <v>2800</v>
      </c>
      <c r="AL440" s="47">
        <f t="shared" si="996"/>
        <v>2800</v>
      </c>
      <c r="AM440" s="47"/>
      <c r="AN440" s="47">
        <v>2800</v>
      </c>
      <c r="AO440" s="43"/>
      <c r="AP440" s="43"/>
      <c r="AQ440" s="47"/>
      <c r="AR440" s="48"/>
      <c r="AS440" s="49"/>
    </row>
    <row r="441" spans="1:45" s="50" customFormat="1" ht="66" customHeight="1">
      <c r="B441" s="237">
        <v>3</v>
      </c>
      <c r="C441" s="102" t="s">
        <v>999</v>
      </c>
      <c r="D441" s="38">
        <v>1</v>
      </c>
      <c r="E441" s="47"/>
      <c r="F441" s="47"/>
      <c r="G441" s="68">
        <v>1</v>
      </c>
      <c r="H441" s="47">
        <f>G441*AL441</f>
        <v>2200</v>
      </c>
      <c r="I441" s="47"/>
      <c r="J441" s="47"/>
      <c r="K441" s="47"/>
      <c r="L441" s="68"/>
      <c r="M441" s="88"/>
      <c r="N441" s="40" t="s">
        <v>222</v>
      </c>
      <c r="O441" s="39" t="s">
        <v>302</v>
      </c>
      <c r="P441" s="39" t="s">
        <v>303</v>
      </c>
      <c r="Q441" s="152">
        <v>7908501</v>
      </c>
      <c r="R441" s="40"/>
      <c r="S441" s="37"/>
      <c r="T441" s="41" t="s">
        <v>114</v>
      </c>
      <c r="U441" s="39"/>
      <c r="V441" s="41" t="s">
        <v>1002</v>
      </c>
      <c r="W441" s="68">
        <v>5838</v>
      </c>
      <c r="X441" s="250"/>
      <c r="Y441" s="68">
        <v>5838</v>
      </c>
      <c r="Z441" s="120"/>
      <c r="AA441" s="47">
        <v>5700</v>
      </c>
      <c r="AB441" s="120"/>
      <c r="AC441" s="235"/>
      <c r="AD441" s="235"/>
      <c r="AE441" s="235"/>
      <c r="AF441" s="235"/>
      <c r="AG441" s="120"/>
      <c r="AH441" s="235"/>
      <c r="AI441" s="120">
        <v>3500</v>
      </c>
      <c r="AJ441" s="47">
        <f t="shared" si="997"/>
        <v>3500</v>
      </c>
      <c r="AK441" s="120">
        <v>2200</v>
      </c>
      <c r="AL441" s="47">
        <f t="shared" si="996"/>
        <v>2200</v>
      </c>
      <c r="AM441" s="47"/>
      <c r="AN441" s="47">
        <v>2200</v>
      </c>
      <c r="AO441" s="43"/>
      <c r="AP441" s="43"/>
      <c r="AQ441" s="47"/>
      <c r="AR441" s="48"/>
      <c r="AS441" s="49"/>
    </row>
    <row r="442" spans="1:45" s="50" customFormat="1" ht="68.25" customHeight="1">
      <c r="B442" s="237">
        <v>4</v>
      </c>
      <c r="C442" s="102" t="s">
        <v>1000</v>
      </c>
      <c r="D442" s="38">
        <v>1</v>
      </c>
      <c r="E442" s="47"/>
      <c r="F442" s="47"/>
      <c r="G442" s="68">
        <v>1</v>
      </c>
      <c r="H442" s="47">
        <f>G442*AL442</f>
        <v>4100</v>
      </c>
      <c r="I442" s="47"/>
      <c r="J442" s="47"/>
      <c r="K442" s="47"/>
      <c r="L442" s="68"/>
      <c r="M442" s="88"/>
      <c r="N442" s="40" t="s">
        <v>222</v>
      </c>
      <c r="O442" s="39" t="s">
        <v>302</v>
      </c>
      <c r="P442" s="39" t="s">
        <v>303</v>
      </c>
      <c r="Q442" s="152">
        <v>7908502</v>
      </c>
      <c r="R442" s="40"/>
      <c r="S442" s="37"/>
      <c r="T442" s="41" t="s">
        <v>114</v>
      </c>
      <c r="U442" s="39"/>
      <c r="V442" s="41" t="s">
        <v>1003</v>
      </c>
      <c r="W442" s="68">
        <v>8902</v>
      </c>
      <c r="X442" s="250"/>
      <c r="Y442" s="68">
        <v>8902</v>
      </c>
      <c r="Z442" s="120"/>
      <c r="AA442" s="47">
        <v>8700</v>
      </c>
      <c r="AB442" s="120"/>
      <c r="AC442" s="235"/>
      <c r="AD442" s="235"/>
      <c r="AE442" s="235"/>
      <c r="AF442" s="235"/>
      <c r="AG442" s="120"/>
      <c r="AH442" s="235"/>
      <c r="AI442" s="120">
        <v>4600</v>
      </c>
      <c r="AJ442" s="47">
        <f t="shared" si="997"/>
        <v>4600</v>
      </c>
      <c r="AK442" s="120">
        <v>4100</v>
      </c>
      <c r="AL442" s="47">
        <f t="shared" si="996"/>
        <v>4100</v>
      </c>
      <c r="AM442" s="47"/>
      <c r="AN442" s="47">
        <v>4100</v>
      </c>
      <c r="AO442" s="43"/>
      <c r="AP442" s="43"/>
      <c r="AQ442" s="47"/>
      <c r="AR442" s="48"/>
      <c r="AS442" s="49"/>
    </row>
    <row r="443" spans="1:45" s="50" customFormat="1" ht="38.1" customHeight="1">
      <c r="B443" s="89"/>
      <c r="C443" s="340" t="s">
        <v>982</v>
      </c>
      <c r="D443" s="127">
        <f>D444</f>
        <v>1</v>
      </c>
      <c r="E443" s="56">
        <f t="shared" ref="E443:M443" si="998">E444</f>
        <v>0</v>
      </c>
      <c r="F443" s="56"/>
      <c r="G443" s="56">
        <f t="shared" si="998"/>
        <v>1</v>
      </c>
      <c r="H443" s="56">
        <f t="shared" si="998"/>
        <v>10620</v>
      </c>
      <c r="I443" s="56">
        <f t="shared" si="998"/>
        <v>0</v>
      </c>
      <c r="J443" s="56">
        <f t="shared" si="998"/>
        <v>0</v>
      </c>
      <c r="K443" s="56">
        <f t="shared" si="998"/>
        <v>0</v>
      </c>
      <c r="L443" s="56">
        <f t="shared" si="998"/>
        <v>1</v>
      </c>
      <c r="M443" s="56">
        <f t="shared" si="998"/>
        <v>0</v>
      </c>
      <c r="N443" s="40"/>
      <c r="O443" s="39"/>
      <c r="P443" s="39"/>
      <c r="Q443" s="40"/>
      <c r="R443" s="40"/>
      <c r="S443" s="37"/>
      <c r="T443" s="41"/>
      <c r="U443" s="39"/>
      <c r="V443" s="39"/>
      <c r="W443" s="56">
        <f>W444</f>
        <v>30741</v>
      </c>
      <c r="X443" s="234">
        <f t="shared" ref="X443:AO443" si="999">X444</f>
        <v>0</v>
      </c>
      <c r="Y443" s="56">
        <f t="shared" si="999"/>
        <v>30741</v>
      </c>
      <c r="Z443" s="234">
        <f t="shared" si="999"/>
        <v>0</v>
      </c>
      <c r="AA443" s="56">
        <f t="shared" si="999"/>
        <v>20000</v>
      </c>
      <c r="AB443" s="234">
        <f t="shared" si="999"/>
        <v>20000</v>
      </c>
      <c r="AC443" s="234">
        <f t="shared" si="999"/>
        <v>0</v>
      </c>
      <c r="AD443" s="234">
        <f t="shared" si="999"/>
        <v>0</v>
      </c>
      <c r="AE443" s="234">
        <f t="shared" si="999"/>
        <v>0</v>
      </c>
      <c r="AF443" s="234">
        <f t="shared" si="999"/>
        <v>0</v>
      </c>
      <c r="AG443" s="234">
        <f t="shared" si="999"/>
        <v>9380</v>
      </c>
      <c r="AH443" s="234">
        <f t="shared" si="999"/>
        <v>1108.72</v>
      </c>
      <c r="AI443" s="234">
        <f t="shared" si="999"/>
        <v>9380</v>
      </c>
      <c r="AJ443" s="56">
        <f t="shared" si="999"/>
        <v>9380</v>
      </c>
      <c r="AK443" s="234">
        <f t="shared" si="999"/>
        <v>10620</v>
      </c>
      <c r="AL443" s="56">
        <f t="shared" si="999"/>
        <v>10620</v>
      </c>
      <c r="AM443" s="56">
        <f t="shared" si="999"/>
        <v>10620</v>
      </c>
      <c r="AN443" s="56">
        <f t="shared" si="999"/>
        <v>0</v>
      </c>
      <c r="AO443" s="56">
        <f t="shared" si="999"/>
        <v>0</v>
      </c>
      <c r="AP443" s="43"/>
      <c r="AQ443" s="47"/>
      <c r="AR443" s="48"/>
      <c r="AS443" s="49" t="e">
        <f>#REF!-AL443</f>
        <v>#REF!</v>
      </c>
    </row>
    <row r="444" spans="1:45" s="50" customFormat="1" ht="84" customHeight="1">
      <c r="B444" s="237">
        <v>1</v>
      </c>
      <c r="C444" s="102" t="s">
        <v>381</v>
      </c>
      <c r="D444" s="38">
        <v>1</v>
      </c>
      <c r="E444" s="47"/>
      <c r="F444" s="47"/>
      <c r="G444" s="68">
        <v>1</v>
      </c>
      <c r="H444" s="47">
        <f>G444*AL444</f>
        <v>10620</v>
      </c>
      <c r="I444" s="47"/>
      <c r="J444" s="47"/>
      <c r="K444" s="47"/>
      <c r="L444" s="68">
        <v>1</v>
      </c>
      <c r="M444" s="88"/>
      <c r="N444" s="40" t="s">
        <v>382</v>
      </c>
      <c r="O444" s="39" t="s">
        <v>383</v>
      </c>
      <c r="P444" s="41" t="s">
        <v>384</v>
      </c>
      <c r="Q444" s="40">
        <v>7900932</v>
      </c>
      <c r="R444" s="39"/>
      <c r="S444" s="39" t="s">
        <v>385</v>
      </c>
      <c r="T444" s="41" t="s">
        <v>114</v>
      </c>
      <c r="U444" s="39"/>
      <c r="V444" s="41" t="s">
        <v>386</v>
      </c>
      <c r="W444" s="42">
        <v>30741</v>
      </c>
      <c r="X444" s="218"/>
      <c r="Y444" s="42">
        <v>30741</v>
      </c>
      <c r="Z444" s="235"/>
      <c r="AA444" s="42">
        <v>20000</v>
      </c>
      <c r="AB444" s="218">
        <v>20000</v>
      </c>
      <c r="AC444" s="218"/>
      <c r="AD444" s="235"/>
      <c r="AE444" s="235"/>
      <c r="AF444" s="235"/>
      <c r="AG444" s="218">
        <f>4380+5000</f>
        <v>9380</v>
      </c>
      <c r="AH444" s="213">
        <v>1108.72</v>
      </c>
      <c r="AI444" s="218">
        <f>4380+5000</f>
        <v>9380</v>
      </c>
      <c r="AJ444" s="47">
        <f>AF444+AI444</f>
        <v>9380</v>
      </c>
      <c r="AK444" s="120">
        <v>10620</v>
      </c>
      <c r="AL444" s="47">
        <f t="shared" si="996"/>
        <v>10620</v>
      </c>
      <c r="AM444" s="47">
        <v>10620</v>
      </c>
      <c r="AN444" s="47"/>
      <c r="AO444" s="43"/>
      <c r="AP444" s="43"/>
      <c r="AQ444" s="47"/>
      <c r="AR444" s="48">
        <f>AA444-(AF444+AI444+AL444)</f>
        <v>0</v>
      </c>
      <c r="AS444" s="49" t="e">
        <f>#REF!-AL444</f>
        <v>#REF!</v>
      </c>
    </row>
    <row r="445" spans="1:45" s="50" customFormat="1" ht="36.950000000000003" customHeight="1">
      <c r="B445" s="36"/>
      <c r="C445" s="340" t="s">
        <v>983</v>
      </c>
      <c r="D445" s="247">
        <f>D446</f>
        <v>1</v>
      </c>
      <c r="E445" s="43">
        <f t="shared" ref="E445:J445" si="1000">E446</f>
        <v>0</v>
      </c>
      <c r="F445" s="43"/>
      <c r="G445" s="43">
        <f t="shared" si="1000"/>
        <v>1</v>
      </c>
      <c r="H445" s="43">
        <f t="shared" si="1000"/>
        <v>10000</v>
      </c>
      <c r="I445" s="43">
        <f t="shared" si="1000"/>
        <v>0</v>
      </c>
      <c r="J445" s="43">
        <f t="shared" si="1000"/>
        <v>0</v>
      </c>
      <c r="K445" s="43">
        <f t="shared" ref="K445:M445" si="1001">K446</f>
        <v>0</v>
      </c>
      <c r="L445" s="43">
        <f t="shared" si="1001"/>
        <v>1</v>
      </c>
      <c r="M445" s="246">
        <f t="shared" si="1001"/>
        <v>0</v>
      </c>
      <c r="N445" s="39"/>
      <c r="O445" s="39"/>
      <c r="P445" s="39"/>
      <c r="Q445" s="39"/>
      <c r="R445" s="39"/>
      <c r="S445" s="39"/>
      <c r="T445" s="39"/>
      <c r="U445" s="39"/>
      <c r="V445" s="39"/>
      <c r="W445" s="43">
        <f t="shared" ref="W445" si="1002">W446</f>
        <v>53375</v>
      </c>
      <c r="X445" s="235">
        <f t="shared" ref="X445" si="1003">X446</f>
        <v>0</v>
      </c>
      <c r="Y445" s="43">
        <f t="shared" ref="Y445" si="1004">Y446</f>
        <v>53375</v>
      </c>
      <c r="Z445" s="235">
        <f t="shared" ref="Z445" si="1005">Z446</f>
        <v>0</v>
      </c>
      <c r="AA445" s="43">
        <f t="shared" ref="AA445" si="1006">AA446</f>
        <v>27000</v>
      </c>
      <c r="AB445" s="235">
        <f t="shared" ref="AB445" si="1007">AB446</f>
        <v>27000</v>
      </c>
      <c r="AC445" s="235">
        <f t="shared" ref="AC445" si="1008">AC446</f>
        <v>0</v>
      </c>
      <c r="AD445" s="235">
        <f t="shared" ref="AD445" si="1009">AD446</f>
        <v>0</v>
      </c>
      <c r="AE445" s="235">
        <f t="shared" ref="AE445" si="1010">AE446</f>
        <v>0</v>
      </c>
      <c r="AF445" s="235">
        <f t="shared" ref="AF445" si="1011">AF446</f>
        <v>10000</v>
      </c>
      <c r="AG445" s="235">
        <f t="shared" ref="AG445" si="1012">AG446</f>
        <v>7000</v>
      </c>
      <c r="AH445" s="235">
        <f t="shared" ref="AH445" si="1013">AH446</f>
        <v>4485.8379999999997</v>
      </c>
      <c r="AI445" s="235">
        <f t="shared" ref="AI445:AJ445" si="1014">AI446</f>
        <v>7000</v>
      </c>
      <c r="AJ445" s="43">
        <f t="shared" si="1014"/>
        <v>17000</v>
      </c>
      <c r="AK445" s="235">
        <f t="shared" ref="AK445" si="1015">AK446</f>
        <v>10000</v>
      </c>
      <c r="AL445" s="43">
        <f t="shared" ref="AL445" si="1016">AL446</f>
        <v>10000</v>
      </c>
      <c r="AM445" s="43">
        <f t="shared" ref="AM445" si="1017">AM446</f>
        <v>10000</v>
      </c>
      <c r="AN445" s="43">
        <f t="shared" ref="AN445" si="1018">AN446</f>
        <v>0</v>
      </c>
      <c r="AO445" s="43">
        <f t="shared" ref="AO445" si="1019">AO446</f>
        <v>0</v>
      </c>
      <c r="AP445" s="43"/>
      <c r="AQ445" s="47"/>
      <c r="AR445" s="48">
        <f>AA445-(AF445+AI445+AL445)</f>
        <v>0</v>
      </c>
      <c r="AS445" s="49" t="e">
        <f>#REF!-AL445</f>
        <v>#REF!</v>
      </c>
    </row>
    <row r="446" spans="1:45" s="50" customFormat="1" ht="45.6" customHeight="1">
      <c r="B446" s="237">
        <v>1</v>
      </c>
      <c r="C446" s="125" t="s">
        <v>457</v>
      </c>
      <c r="D446" s="38">
        <v>1</v>
      </c>
      <c r="E446" s="47"/>
      <c r="F446" s="47"/>
      <c r="G446" s="68">
        <v>1</v>
      </c>
      <c r="H446" s="47">
        <f>G446*AL446</f>
        <v>10000</v>
      </c>
      <c r="I446" s="47"/>
      <c r="J446" s="47"/>
      <c r="K446" s="47"/>
      <c r="L446" s="68">
        <v>1</v>
      </c>
      <c r="M446" s="88"/>
      <c r="N446" s="40" t="s">
        <v>195</v>
      </c>
      <c r="O446" s="39" t="s">
        <v>455</v>
      </c>
      <c r="P446" s="39" t="s">
        <v>456</v>
      </c>
      <c r="Q446" s="145" t="s">
        <v>458</v>
      </c>
      <c r="R446" s="40"/>
      <c r="S446" s="37"/>
      <c r="T446" s="41" t="s">
        <v>114</v>
      </c>
      <c r="U446" s="39"/>
      <c r="V446" s="39" t="s">
        <v>800</v>
      </c>
      <c r="W446" s="44">
        <v>53375</v>
      </c>
      <c r="X446" s="250"/>
      <c r="Y446" s="44">
        <v>53375</v>
      </c>
      <c r="Z446" s="235"/>
      <c r="AA446" s="68">
        <v>27000</v>
      </c>
      <c r="AB446" s="250">
        <v>27000</v>
      </c>
      <c r="AC446" s="250"/>
      <c r="AD446" s="235"/>
      <c r="AE446" s="235"/>
      <c r="AF446" s="250">
        <v>10000</v>
      </c>
      <c r="AG446" s="250">
        <v>7000</v>
      </c>
      <c r="AH446" s="213">
        <v>4485.8379999999997</v>
      </c>
      <c r="AI446" s="250">
        <v>7000</v>
      </c>
      <c r="AJ446" s="47">
        <f>AF446+AI446</f>
        <v>17000</v>
      </c>
      <c r="AK446" s="120">
        <v>10000</v>
      </c>
      <c r="AL446" s="47">
        <f t="shared" si="996"/>
        <v>10000</v>
      </c>
      <c r="AM446" s="47">
        <v>10000</v>
      </c>
      <c r="AN446" s="43"/>
      <c r="AO446" s="43"/>
      <c r="AP446" s="43"/>
      <c r="AQ446" s="47"/>
      <c r="AR446" s="48">
        <f>AA446-(AF446+AI446+AL446)</f>
        <v>0</v>
      </c>
      <c r="AS446" s="49" t="e">
        <f>#REF!-AL446</f>
        <v>#REF!</v>
      </c>
    </row>
    <row r="447" spans="1:45" s="50" customFormat="1" ht="16.5" customHeight="1">
      <c r="B447" s="89"/>
      <c r="C447" s="342"/>
      <c r="D447" s="38"/>
      <c r="E447" s="47"/>
      <c r="F447" s="47"/>
      <c r="G447" s="68"/>
      <c r="H447" s="68"/>
      <c r="I447" s="47"/>
      <c r="J447" s="47"/>
      <c r="K447" s="47"/>
      <c r="L447" s="68"/>
      <c r="M447" s="88"/>
      <c r="N447" s="40"/>
      <c r="O447" s="39"/>
      <c r="P447" s="39"/>
      <c r="Q447" s="40"/>
      <c r="R447" s="40"/>
      <c r="S447" s="37"/>
      <c r="T447" s="41"/>
      <c r="U447" s="39"/>
      <c r="V447" s="39"/>
      <c r="W447" s="68"/>
      <c r="X447" s="250"/>
      <c r="Y447" s="68"/>
      <c r="Z447" s="235"/>
      <c r="AA447" s="68"/>
      <c r="AB447" s="250"/>
      <c r="AC447" s="235"/>
      <c r="AD447" s="235"/>
      <c r="AE447" s="235"/>
      <c r="AF447" s="235"/>
      <c r="AG447" s="250"/>
      <c r="AH447" s="213"/>
      <c r="AI447" s="250"/>
      <c r="AJ447" s="68"/>
      <c r="AK447" s="265"/>
      <c r="AL447" s="62"/>
      <c r="AM447" s="62"/>
      <c r="AN447" s="43"/>
      <c r="AO447" s="43"/>
      <c r="AP447" s="43"/>
      <c r="AQ447" s="47"/>
      <c r="AR447" s="48"/>
      <c r="AS447" s="49" t="e">
        <f>#REF!-AL447</f>
        <v>#REF!</v>
      </c>
    </row>
    <row r="448" spans="1:45" s="50" customFormat="1" ht="47.1" customHeight="1">
      <c r="B448" s="36" t="s">
        <v>135</v>
      </c>
      <c r="C448" s="340" t="s">
        <v>174</v>
      </c>
      <c r="D448" s="247">
        <f t="shared" ref="D448:J448" si="1020">D449+D458</f>
        <v>6</v>
      </c>
      <c r="E448" s="43">
        <f t="shared" si="1020"/>
        <v>0</v>
      </c>
      <c r="F448" s="43">
        <f t="shared" si="1020"/>
        <v>0</v>
      </c>
      <c r="G448" s="43">
        <f t="shared" si="1020"/>
        <v>0</v>
      </c>
      <c r="H448" s="43">
        <f t="shared" si="1020"/>
        <v>0</v>
      </c>
      <c r="I448" s="43">
        <f t="shared" si="1020"/>
        <v>6</v>
      </c>
      <c r="J448" s="43">
        <f t="shared" si="1020"/>
        <v>103000</v>
      </c>
      <c r="K448" s="43">
        <f t="shared" ref="K448:M448" si="1021">K449+K458</f>
        <v>0</v>
      </c>
      <c r="L448" s="43">
        <f t="shared" si="1021"/>
        <v>4</v>
      </c>
      <c r="M448" s="43">
        <f t="shared" si="1021"/>
        <v>0</v>
      </c>
      <c r="N448" s="39"/>
      <c r="O448" s="39"/>
      <c r="P448" s="39"/>
      <c r="Q448" s="39"/>
      <c r="R448" s="39"/>
      <c r="S448" s="39"/>
      <c r="T448" s="39"/>
      <c r="U448" s="39"/>
      <c r="V448" s="39"/>
      <c r="W448" s="43">
        <f t="shared" ref="W448" si="1022">W449+W458</f>
        <v>466372</v>
      </c>
      <c r="X448" s="235">
        <f t="shared" ref="X448" si="1023">X449+X458</f>
        <v>0</v>
      </c>
      <c r="Y448" s="43">
        <f t="shared" ref="Y448" si="1024">Y449+Y458</f>
        <v>461006</v>
      </c>
      <c r="Z448" s="235">
        <f t="shared" ref="Z448" si="1025">Z449+Z458</f>
        <v>0</v>
      </c>
      <c r="AA448" s="43">
        <f t="shared" ref="AA448" si="1026">AA449+AA458</f>
        <v>248500</v>
      </c>
      <c r="AB448" s="235">
        <f t="shared" ref="AB448" si="1027">AB449+AB458</f>
        <v>120500</v>
      </c>
      <c r="AC448" s="235">
        <f t="shared" ref="AC448" si="1028">AC449+AC458</f>
        <v>128000</v>
      </c>
      <c r="AD448" s="235">
        <f t="shared" ref="AD448" si="1029">AD449+AD458</f>
        <v>0</v>
      </c>
      <c r="AE448" s="235">
        <f t="shared" ref="AE448" si="1030">AE449+AE458</f>
        <v>0</v>
      </c>
      <c r="AF448" s="235">
        <f t="shared" ref="AF448" si="1031">AF449+AF458</f>
        <v>1000</v>
      </c>
      <c r="AG448" s="235">
        <f t="shared" ref="AG448" si="1032">AG449+AG458</f>
        <v>69000</v>
      </c>
      <c r="AH448" s="235">
        <f t="shared" ref="AH448" si="1033">AH449+AH458</f>
        <v>15138.141</v>
      </c>
      <c r="AI448" s="235">
        <f t="shared" ref="AI448:AJ448" si="1034">AI449+AI458</f>
        <v>81000</v>
      </c>
      <c r="AJ448" s="43">
        <f t="shared" si="1034"/>
        <v>82000</v>
      </c>
      <c r="AK448" s="235">
        <f t="shared" ref="AK448" si="1035">AK449+AK458</f>
        <v>103000</v>
      </c>
      <c r="AL448" s="43">
        <f t="shared" ref="AL448" si="1036">AL449+AL458</f>
        <v>103000</v>
      </c>
      <c r="AM448" s="43">
        <f t="shared" ref="AM448:AP448" si="1037">AM449+AM458</f>
        <v>33000</v>
      </c>
      <c r="AN448" s="43">
        <f t="shared" si="1037"/>
        <v>70000</v>
      </c>
      <c r="AO448" s="43">
        <f t="shared" si="1037"/>
        <v>0</v>
      </c>
      <c r="AP448" s="43">
        <f t="shared" si="1037"/>
        <v>0</v>
      </c>
      <c r="AQ448" s="47"/>
      <c r="AR448" s="48">
        <f t="shared" ref="AR448:AR462" si="1038">AA448-(AF448+AI448+AL448)</f>
        <v>63500</v>
      </c>
      <c r="AS448" s="49" t="e">
        <f>#REF!-AL448</f>
        <v>#REF!</v>
      </c>
    </row>
    <row r="449" spans="2:45" s="133" customFormat="1" ht="18" customHeight="1">
      <c r="B449" s="129" t="s">
        <v>232</v>
      </c>
      <c r="C449" s="348" t="s">
        <v>119</v>
      </c>
      <c r="D449" s="439">
        <f t="shared" ref="D449:J449" si="1039">D450+D453+D456</f>
        <v>5</v>
      </c>
      <c r="E449" s="69">
        <f t="shared" si="1039"/>
        <v>0</v>
      </c>
      <c r="F449" s="69">
        <f t="shared" si="1039"/>
        <v>0</v>
      </c>
      <c r="G449" s="69">
        <f t="shared" si="1039"/>
        <v>0</v>
      </c>
      <c r="H449" s="69">
        <f t="shared" si="1039"/>
        <v>0</v>
      </c>
      <c r="I449" s="69">
        <f t="shared" si="1039"/>
        <v>5</v>
      </c>
      <c r="J449" s="69">
        <f t="shared" si="1039"/>
        <v>33000</v>
      </c>
      <c r="K449" s="69">
        <f t="shared" ref="K449:M449" si="1040">K453+K456</f>
        <v>0</v>
      </c>
      <c r="L449" s="69">
        <f t="shared" si="1040"/>
        <v>3</v>
      </c>
      <c r="M449" s="273">
        <f t="shared" si="1040"/>
        <v>0</v>
      </c>
      <c r="N449" s="122"/>
      <c r="O449" s="122"/>
      <c r="P449" s="122"/>
      <c r="Q449" s="122"/>
      <c r="R449" s="122"/>
      <c r="S449" s="122"/>
      <c r="T449" s="122"/>
      <c r="U449" s="122"/>
      <c r="V449" s="122"/>
      <c r="W449" s="69">
        <f>W450+W453+W456</f>
        <v>151847</v>
      </c>
      <c r="X449" s="236">
        <f t="shared" ref="X449" si="1041">X453+X456</f>
        <v>0</v>
      </c>
      <c r="Y449" s="69">
        <f t="shared" ref="Y449:AP449" si="1042">Y450+Y453+Y456</f>
        <v>146481</v>
      </c>
      <c r="Z449" s="69">
        <f t="shared" si="1042"/>
        <v>0</v>
      </c>
      <c r="AA449" s="69">
        <f t="shared" si="1042"/>
        <v>120500</v>
      </c>
      <c r="AB449" s="236">
        <f t="shared" si="1042"/>
        <v>120500</v>
      </c>
      <c r="AC449" s="236">
        <f t="shared" si="1042"/>
        <v>0</v>
      </c>
      <c r="AD449" s="236">
        <f t="shared" si="1042"/>
        <v>0</v>
      </c>
      <c r="AE449" s="236">
        <f t="shared" si="1042"/>
        <v>0</v>
      </c>
      <c r="AF449" s="236">
        <f t="shared" si="1042"/>
        <v>1000</v>
      </c>
      <c r="AG449" s="236">
        <f t="shared" si="1042"/>
        <v>34000</v>
      </c>
      <c r="AH449" s="236">
        <f t="shared" si="1042"/>
        <v>14348.635</v>
      </c>
      <c r="AI449" s="236">
        <f t="shared" si="1042"/>
        <v>36000</v>
      </c>
      <c r="AJ449" s="69">
        <f t="shared" si="1042"/>
        <v>37000</v>
      </c>
      <c r="AK449" s="236">
        <f t="shared" si="1042"/>
        <v>33000</v>
      </c>
      <c r="AL449" s="69">
        <f t="shared" si="1042"/>
        <v>33000</v>
      </c>
      <c r="AM449" s="69">
        <f t="shared" si="1042"/>
        <v>33000</v>
      </c>
      <c r="AN449" s="69">
        <f t="shared" si="1042"/>
        <v>0</v>
      </c>
      <c r="AO449" s="69">
        <f t="shared" si="1042"/>
        <v>0</v>
      </c>
      <c r="AP449" s="69">
        <f t="shared" si="1042"/>
        <v>0</v>
      </c>
      <c r="AQ449" s="130"/>
      <c r="AR449" s="131">
        <f t="shared" si="1038"/>
        <v>50500</v>
      </c>
      <c r="AS449" s="132" t="e">
        <f>#REF!-AL449</f>
        <v>#REF!</v>
      </c>
    </row>
    <row r="450" spans="2:45" s="50" customFormat="1" ht="37.5" customHeight="1">
      <c r="B450" s="36"/>
      <c r="C450" s="340" t="s">
        <v>954</v>
      </c>
      <c r="D450" s="247">
        <f>SUM(D451:D452)</f>
        <v>2</v>
      </c>
      <c r="E450" s="43">
        <f t="shared" ref="E450" si="1043">SUM(E451:E452)</f>
        <v>0</v>
      </c>
      <c r="F450" s="43"/>
      <c r="G450" s="43">
        <f t="shared" ref="G450:M450" si="1044">SUM(G451:G452)</f>
        <v>0</v>
      </c>
      <c r="H450" s="43">
        <f t="shared" si="1044"/>
        <v>0</v>
      </c>
      <c r="I450" s="43">
        <f t="shared" si="1044"/>
        <v>2</v>
      </c>
      <c r="J450" s="43">
        <f t="shared" si="1044"/>
        <v>8000</v>
      </c>
      <c r="K450" s="43">
        <f t="shared" si="1044"/>
        <v>0</v>
      </c>
      <c r="L450" s="43">
        <f t="shared" si="1044"/>
        <v>2</v>
      </c>
      <c r="M450" s="246">
        <f t="shared" si="1044"/>
        <v>0</v>
      </c>
      <c r="N450" s="39"/>
      <c r="O450" s="39"/>
      <c r="P450" s="39"/>
      <c r="Q450" s="39"/>
      <c r="R450" s="39"/>
      <c r="S450" s="39"/>
      <c r="T450" s="39"/>
      <c r="U450" s="39"/>
      <c r="V450" s="39"/>
      <c r="W450" s="43">
        <f t="shared" ref="W450:AO450" si="1045">SUM(W451:W452)</f>
        <v>45366</v>
      </c>
      <c r="X450" s="235">
        <f t="shared" si="1045"/>
        <v>0</v>
      </c>
      <c r="Y450" s="43">
        <f t="shared" si="1045"/>
        <v>40000</v>
      </c>
      <c r="Z450" s="235">
        <f t="shared" si="1045"/>
        <v>0</v>
      </c>
      <c r="AA450" s="43">
        <f t="shared" si="1045"/>
        <v>40000</v>
      </c>
      <c r="AB450" s="235">
        <f t="shared" si="1045"/>
        <v>40000</v>
      </c>
      <c r="AC450" s="235">
        <f t="shared" si="1045"/>
        <v>0</v>
      </c>
      <c r="AD450" s="235">
        <f t="shared" si="1045"/>
        <v>0</v>
      </c>
      <c r="AE450" s="235">
        <f t="shared" si="1045"/>
        <v>0</v>
      </c>
      <c r="AF450" s="235">
        <f t="shared" si="1045"/>
        <v>1000</v>
      </c>
      <c r="AG450" s="235">
        <f t="shared" si="1045"/>
        <v>20000</v>
      </c>
      <c r="AH450" s="235">
        <f t="shared" si="1045"/>
        <v>5100.2529999999997</v>
      </c>
      <c r="AI450" s="235">
        <f t="shared" si="1045"/>
        <v>20000</v>
      </c>
      <c r="AJ450" s="43">
        <f t="shared" si="1045"/>
        <v>21000</v>
      </c>
      <c r="AK450" s="235">
        <f t="shared" si="1045"/>
        <v>8000</v>
      </c>
      <c r="AL450" s="43">
        <f t="shared" si="1045"/>
        <v>8000</v>
      </c>
      <c r="AM450" s="43">
        <f t="shared" si="1045"/>
        <v>8000</v>
      </c>
      <c r="AN450" s="43">
        <f t="shared" si="1045"/>
        <v>0</v>
      </c>
      <c r="AO450" s="43">
        <f t="shared" si="1045"/>
        <v>0</v>
      </c>
      <c r="AP450" s="43"/>
      <c r="AQ450" s="47"/>
      <c r="AR450" s="48">
        <f t="shared" si="1038"/>
        <v>11000</v>
      </c>
      <c r="AS450" s="49" t="e">
        <f>#REF!-AL450</f>
        <v>#REF!</v>
      </c>
    </row>
    <row r="451" spans="2:45" s="50" customFormat="1" ht="48.95" customHeight="1">
      <c r="B451" s="237">
        <v>1</v>
      </c>
      <c r="C451" s="345" t="s">
        <v>797</v>
      </c>
      <c r="D451" s="38">
        <v>1</v>
      </c>
      <c r="E451" s="47"/>
      <c r="F451" s="47"/>
      <c r="G451" s="68"/>
      <c r="H451" s="47"/>
      <c r="I451" s="47">
        <v>1</v>
      </c>
      <c r="J451" s="47">
        <f>I451*AL451</f>
        <v>3000</v>
      </c>
      <c r="K451" s="47"/>
      <c r="L451" s="68">
        <v>1</v>
      </c>
      <c r="M451" s="88"/>
      <c r="N451" s="40" t="s">
        <v>161</v>
      </c>
      <c r="O451" s="39" t="s">
        <v>362</v>
      </c>
      <c r="P451" s="39" t="s">
        <v>363</v>
      </c>
      <c r="Q451" s="40">
        <v>7892349</v>
      </c>
      <c r="R451" s="40"/>
      <c r="S451" s="41" t="s">
        <v>1022</v>
      </c>
      <c r="T451" s="41" t="s">
        <v>114</v>
      </c>
      <c r="U451" s="39"/>
      <c r="V451" s="39" t="s">
        <v>799</v>
      </c>
      <c r="W451" s="68">
        <v>24128</v>
      </c>
      <c r="X451" s="250"/>
      <c r="Y451" s="68">
        <v>20000</v>
      </c>
      <c r="Z451" s="235"/>
      <c r="AA451" s="68">
        <v>20000</v>
      </c>
      <c r="AB451" s="250">
        <v>20000</v>
      </c>
      <c r="AC451" s="235"/>
      <c r="AD451" s="235"/>
      <c r="AE451" s="235"/>
      <c r="AF451" s="250">
        <v>1000</v>
      </c>
      <c r="AG451" s="250">
        <v>10000</v>
      </c>
      <c r="AH451" s="213">
        <v>4594.384</v>
      </c>
      <c r="AI451" s="250">
        <v>10000</v>
      </c>
      <c r="AJ451" s="47">
        <f>AF451+AI451</f>
        <v>11000</v>
      </c>
      <c r="AK451" s="265">
        <v>3000</v>
      </c>
      <c r="AL451" s="47">
        <f t="shared" ref="AL451:AL452" si="1046">AM451+AN451+AO451</f>
        <v>3000</v>
      </c>
      <c r="AM451" s="62">
        <v>3000</v>
      </c>
      <c r="AN451" s="43"/>
      <c r="AO451" s="43"/>
      <c r="AP451" s="43"/>
      <c r="AQ451" s="47"/>
      <c r="AR451" s="48">
        <f t="shared" si="1038"/>
        <v>6000</v>
      </c>
      <c r="AS451" s="49" t="e">
        <f>#REF!-AL451</f>
        <v>#REF!</v>
      </c>
    </row>
    <row r="452" spans="2:45" s="50" customFormat="1" ht="85.5" customHeight="1">
      <c r="B452" s="237">
        <v>2</v>
      </c>
      <c r="C452" s="345" t="s">
        <v>798</v>
      </c>
      <c r="D452" s="38">
        <v>1</v>
      </c>
      <c r="E452" s="47"/>
      <c r="F452" s="47"/>
      <c r="G452" s="68"/>
      <c r="H452" s="47"/>
      <c r="I452" s="47">
        <v>1</v>
      </c>
      <c r="J452" s="47">
        <f>I452*AL452</f>
        <v>5000</v>
      </c>
      <c r="K452" s="47"/>
      <c r="L452" s="68">
        <v>1</v>
      </c>
      <c r="M452" s="88"/>
      <c r="N452" s="40" t="s">
        <v>161</v>
      </c>
      <c r="O452" s="39" t="s">
        <v>362</v>
      </c>
      <c r="P452" s="39" t="s">
        <v>363</v>
      </c>
      <c r="Q452" s="40">
        <v>7914494</v>
      </c>
      <c r="R452" s="40"/>
      <c r="S452" s="41" t="s">
        <v>1023</v>
      </c>
      <c r="T452" s="41" t="s">
        <v>114</v>
      </c>
      <c r="U452" s="39"/>
      <c r="V452" s="39" t="s">
        <v>367</v>
      </c>
      <c r="W452" s="68">
        <v>21238</v>
      </c>
      <c r="X452" s="250"/>
      <c r="Y452" s="68">
        <v>20000</v>
      </c>
      <c r="Z452" s="235"/>
      <c r="AA452" s="68">
        <v>20000</v>
      </c>
      <c r="AB452" s="250">
        <v>20000</v>
      </c>
      <c r="AC452" s="235"/>
      <c r="AD452" s="235"/>
      <c r="AE452" s="235"/>
      <c r="AF452" s="235"/>
      <c r="AG452" s="250">
        <v>10000</v>
      </c>
      <c r="AH452" s="213">
        <v>505.86900000000003</v>
      </c>
      <c r="AI452" s="250">
        <v>10000</v>
      </c>
      <c r="AJ452" s="47">
        <f>AF452+AI452</f>
        <v>10000</v>
      </c>
      <c r="AK452" s="265">
        <v>5000</v>
      </c>
      <c r="AL452" s="47">
        <f t="shared" si="1046"/>
        <v>5000</v>
      </c>
      <c r="AM452" s="62">
        <v>5000</v>
      </c>
      <c r="AN452" s="43"/>
      <c r="AO452" s="43"/>
      <c r="AP452" s="43"/>
      <c r="AQ452" s="47"/>
      <c r="AR452" s="48">
        <f t="shared" si="1038"/>
        <v>5000</v>
      </c>
      <c r="AS452" s="49" t="e">
        <f>#REF!-AL452</f>
        <v>#REF!</v>
      </c>
    </row>
    <row r="453" spans="2:45" s="50" customFormat="1" ht="30.6" customHeight="1">
      <c r="B453" s="36"/>
      <c r="C453" s="340" t="s">
        <v>981</v>
      </c>
      <c r="D453" s="247">
        <f t="shared" ref="D453:J453" si="1047">D454+D455</f>
        <v>2</v>
      </c>
      <c r="E453" s="43">
        <f t="shared" si="1047"/>
        <v>0</v>
      </c>
      <c r="F453" s="43">
        <f t="shared" si="1047"/>
        <v>0</v>
      </c>
      <c r="G453" s="43">
        <f t="shared" si="1047"/>
        <v>0</v>
      </c>
      <c r="H453" s="43">
        <f t="shared" si="1047"/>
        <v>0</v>
      </c>
      <c r="I453" s="43">
        <f t="shared" si="1047"/>
        <v>2</v>
      </c>
      <c r="J453" s="43">
        <f t="shared" si="1047"/>
        <v>15000</v>
      </c>
      <c r="K453" s="43">
        <f t="shared" ref="K453:M453" si="1048">K454+K455</f>
        <v>0</v>
      </c>
      <c r="L453" s="43">
        <f t="shared" si="1048"/>
        <v>2</v>
      </c>
      <c r="M453" s="246">
        <f t="shared" si="1048"/>
        <v>0</v>
      </c>
      <c r="N453" s="39"/>
      <c r="O453" s="39"/>
      <c r="P453" s="39"/>
      <c r="Q453" s="39"/>
      <c r="R453" s="39"/>
      <c r="S453" s="39"/>
      <c r="T453" s="39"/>
      <c r="U453" s="39"/>
      <c r="V453" s="39"/>
      <c r="W453" s="43">
        <f t="shared" ref="W453" si="1049">W454+W455</f>
        <v>75000</v>
      </c>
      <c r="X453" s="235">
        <f t="shared" ref="X453" si="1050">X454+X455</f>
        <v>0</v>
      </c>
      <c r="Y453" s="43">
        <f t="shared" ref="Y453" si="1051">Y454+Y455</f>
        <v>75000</v>
      </c>
      <c r="Z453" s="235">
        <f t="shared" ref="Z453" si="1052">Z454+Z455</f>
        <v>0</v>
      </c>
      <c r="AA453" s="43">
        <f t="shared" ref="AA453" si="1053">AA454+AA455</f>
        <v>55500</v>
      </c>
      <c r="AB453" s="235">
        <f t="shared" ref="AB453" si="1054">AB454+AB455</f>
        <v>55500</v>
      </c>
      <c r="AC453" s="235">
        <f t="shared" ref="AC453" si="1055">AC454+AC455</f>
        <v>0</v>
      </c>
      <c r="AD453" s="235">
        <f t="shared" ref="AD453" si="1056">AD454+AD455</f>
        <v>0</v>
      </c>
      <c r="AE453" s="235">
        <f t="shared" ref="AE453" si="1057">AE454+AE455</f>
        <v>0</v>
      </c>
      <c r="AF453" s="235">
        <f t="shared" ref="AF453" si="1058">AF454+AF455</f>
        <v>0</v>
      </c>
      <c r="AG453" s="235">
        <f t="shared" ref="AG453" si="1059">AG454+AG455</f>
        <v>13000</v>
      </c>
      <c r="AH453" s="235">
        <f t="shared" ref="AH453" si="1060">AH454+AH455</f>
        <v>9000</v>
      </c>
      <c r="AI453" s="235">
        <f t="shared" ref="AI453:AJ453" si="1061">AI454+AI455</f>
        <v>15000</v>
      </c>
      <c r="AJ453" s="43">
        <f t="shared" si="1061"/>
        <v>15000</v>
      </c>
      <c r="AK453" s="235">
        <f t="shared" ref="AK453" si="1062">AK454+AK455</f>
        <v>15000</v>
      </c>
      <c r="AL453" s="43">
        <f t="shared" ref="AL453" si="1063">AL454+AL455</f>
        <v>15000</v>
      </c>
      <c r="AM453" s="43">
        <f t="shared" ref="AM453:AP453" si="1064">AM454+AM455</f>
        <v>15000</v>
      </c>
      <c r="AN453" s="43">
        <f t="shared" si="1064"/>
        <v>0</v>
      </c>
      <c r="AO453" s="43">
        <f t="shared" si="1064"/>
        <v>0</v>
      </c>
      <c r="AP453" s="43">
        <f t="shared" si="1064"/>
        <v>0</v>
      </c>
      <c r="AQ453" s="47"/>
      <c r="AR453" s="48">
        <f t="shared" si="1038"/>
        <v>25500</v>
      </c>
      <c r="AS453" s="49" t="e">
        <f>#REF!-AL453</f>
        <v>#REF!</v>
      </c>
    </row>
    <row r="454" spans="2:45" s="50" customFormat="1" ht="53.1" customHeight="1">
      <c r="B454" s="237">
        <v>1</v>
      </c>
      <c r="C454" s="125" t="s">
        <v>801</v>
      </c>
      <c r="D454" s="105">
        <v>1</v>
      </c>
      <c r="E454" s="47"/>
      <c r="F454" s="47"/>
      <c r="G454" s="61"/>
      <c r="H454" s="47"/>
      <c r="I454" s="47">
        <v>1</v>
      </c>
      <c r="J454" s="47">
        <f>I454*AL454</f>
        <v>10000</v>
      </c>
      <c r="K454" s="47"/>
      <c r="L454" s="61">
        <v>1</v>
      </c>
      <c r="M454" s="88"/>
      <c r="N454" s="40" t="s">
        <v>136</v>
      </c>
      <c r="O454" s="39" t="s">
        <v>229</v>
      </c>
      <c r="P454" s="39" t="s">
        <v>230</v>
      </c>
      <c r="Q454" s="39">
        <v>7916276</v>
      </c>
      <c r="R454" s="40"/>
      <c r="S454" s="39" t="s">
        <v>233</v>
      </c>
      <c r="T454" s="39" t="s">
        <v>115</v>
      </c>
      <c r="U454" s="154"/>
      <c r="V454" s="154" t="s">
        <v>803</v>
      </c>
      <c r="W454" s="42">
        <v>45000</v>
      </c>
      <c r="X454" s="218"/>
      <c r="Y454" s="42">
        <v>45000</v>
      </c>
      <c r="Z454" s="235"/>
      <c r="AA454" s="42">
        <v>31500</v>
      </c>
      <c r="AB454" s="218">
        <v>31500</v>
      </c>
      <c r="AC454" s="235"/>
      <c r="AD454" s="235"/>
      <c r="AE454" s="235"/>
      <c r="AF454" s="235"/>
      <c r="AG454" s="218">
        <v>8000</v>
      </c>
      <c r="AH454" s="120">
        <v>4000</v>
      </c>
      <c r="AI454" s="120">
        <v>10000</v>
      </c>
      <c r="AJ454" s="47">
        <f>AF454+AI454</f>
        <v>10000</v>
      </c>
      <c r="AK454" s="218">
        <v>10000</v>
      </c>
      <c r="AL454" s="47">
        <f t="shared" ref="AL454:AL457" si="1065">AM454+AN454+AO454</f>
        <v>10000</v>
      </c>
      <c r="AM454" s="42">
        <v>10000</v>
      </c>
      <c r="AN454" s="43"/>
      <c r="AO454" s="43"/>
      <c r="AP454" s="43"/>
      <c r="AQ454" s="47"/>
      <c r="AR454" s="48">
        <f t="shared" si="1038"/>
        <v>11500</v>
      </c>
      <c r="AS454" s="49" t="e">
        <f>#REF!-AL454</f>
        <v>#REF!</v>
      </c>
    </row>
    <row r="455" spans="2:45" s="50" customFormat="1" ht="60" customHeight="1">
      <c r="B455" s="237">
        <v>2</v>
      </c>
      <c r="C455" s="125" t="s">
        <v>802</v>
      </c>
      <c r="D455" s="105">
        <v>1</v>
      </c>
      <c r="E455" s="47"/>
      <c r="F455" s="47"/>
      <c r="G455" s="61"/>
      <c r="H455" s="47"/>
      <c r="I455" s="47">
        <v>1</v>
      </c>
      <c r="J455" s="47">
        <f>I455*AL455</f>
        <v>5000</v>
      </c>
      <c r="K455" s="47"/>
      <c r="L455" s="61">
        <v>1</v>
      </c>
      <c r="M455" s="88"/>
      <c r="N455" s="40" t="s">
        <v>136</v>
      </c>
      <c r="O455" s="39" t="s">
        <v>229</v>
      </c>
      <c r="P455" s="39" t="s">
        <v>230</v>
      </c>
      <c r="Q455" s="39">
        <v>7915932</v>
      </c>
      <c r="R455" s="39"/>
      <c r="S455" s="39"/>
      <c r="T455" s="155" t="s">
        <v>115</v>
      </c>
      <c r="U455" s="154"/>
      <c r="V455" s="154" t="s">
        <v>804</v>
      </c>
      <c r="W455" s="42">
        <v>30000</v>
      </c>
      <c r="X455" s="218"/>
      <c r="Y455" s="42">
        <v>30000</v>
      </c>
      <c r="Z455" s="235"/>
      <c r="AA455" s="42">
        <v>24000</v>
      </c>
      <c r="AB455" s="218">
        <v>24000</v>
      </c>
      <c r="AC455" s="235"/>
      <c r="AD455" s="235"/>
      <c r="AE455" s="235"/>
      <c r="AF455" s="235"/>
      <c r="AG455" s="120">
        <v>5000</v>
      </c>
      <c r="AH455" s="120">
        <v>5000</v>
      </c>
      <c r="AI455" s="120">
        <v>5000</v>
      </c>
      <c r="AJ455" s="47">
        <f>AF455+AI455</f>
        <v>5000</v>
      </c>
      <c r="AK455" s="120">
        <v>5000</v>
      </c>
      <c r="AL455" s="47">
        <f t="shared" si="1065"/>
        <v>5000</v>
      </c>
      <c r="AM455" s="47">
        <v>5000</v>
      </c>
      <c r="AN455" s="43"/>
      <c r="AO455" s="43"/>
      <c r="AP455" s="43"/>
      <c r="AQ455" s="47"/>
      <c r="AR455" s="48">
        <f t="shared" si="1038"/>
        <v>14000</v>
      </c>
      <c r="AS455" s="49" t="e">
        <f>#REF!-AL455</f>
        <v>#REF!</v>
      </c>
    </row>
    <row r="456" spans="2:45" s="50" customFormat="1" ht="38.1" customHeight="1">
      <c r="B456" s="36"/>
      <c r="C456" s="340" t="s">
        <v>958</v>
      </c>
      <c r="D456" s="247">
        <f>D457</f>
        <v>1</v>
      </c>
      <c r="E456" s="43">
        <f t="shared" ref="E456:M456" si="1066">E457</f>
        <v>0</v>
      </c>
      <c r="F456" s="43"/>
      <c r="G456" s="43">
        <f t="shared" si="1066"/>
        <v>0</v>
      </c>
      <c r="H456" s="43"/>
      <c r="I456" s="43">
        <f t="shared" si="1066"/>
        <v>1</v>
      </c>
      <c r="J456" s="43">
        <f t="shared" si="1066"/>
        <v>10000</v>
      </c>
      <c r="K456" s="43">
        <f t="shared" si="1066"/>
        <v>0</v>
      </c>
      <c r="L456" s="43">
        <f t="shared" si="1066"/>
        <v>1</v>
      </c>
      <c r="M456" s="43">
        <f t="shared" si="1066"/>
        <v>0</v>
      </c>
      <c r="N456" s="39"/>
      <c r="O456" s="39"/>
      <c r="P456" s="39"/>
      <c r="Q456" s="39"/>
      <c r="R456" s="39"/>
      <c r="S456" s="39"/>
      <c r="T456" s="39"/>
      <c r="U456" s="39"/>
      <c r="V456" s="39"/>
      <c r="W456" s="43">
        <f t="shared" ref="W456" si="1067">W457</f>
        <v>31481</v>
      </c>
      <c r="X456" s="235">
        <f t="shared" ref="X456" si="1068">X457</f>
        <v>0</v>
      </c>
      <c r="Y456" s="43">
        <f t="shared" ref="Y456" si="1069">Y457</f>
        <v>31481</v>
      </c>
      <c r="Z456" s="235">
        <f t="shared" ref="Z456" si="1070">Z457</f>
        <v>0</v>
      </c>
      <c r="AA456" s="43">
        <f t="shared" ref="AA456" si="1071">AA457</f>
        <v>25000</v>
      </c>
      <c r="AB456" s="235">
        <f t="shared" ref="AB456" si="1072">AB457</f>
        <v>25000</v>
      </c>
      <c r="AC456" s="235">
        <f t="shared" ref="AC456" si="1073">AC457</f>
        <v>0</v>
      </c>
      <c r="AD456" s="235">
        <f t="shared" ref="AD456" si="1074">AD457</f>
        <v>0</v>
      </c>
      <c r="AE456" s="235">
        <f t="shared" ref="AE456" si="1075">AE457</f>
        <v>0</v>
      </c>
      <c r="AF456" s="235">
        <f t="shared" ref="AF456" si="1076">AF457</f>
        <v>0</v>
      </c>
      <c r="AG456" s="235">
        <f t="shared" ref="AG456" si="1077">AG457</f>
        <v>1000</v>
      </c>
      <c r="AH456" s="235">
        <f t="shared" ref="AH456" si="1078">AH457</f>
        <v>248.38200000000001</v>
      </c>
      <c r="AI456" s="235">
        <f t="shared" ref="AI456:AJ456" si="1079">AI457</f>
        <v>1000</v>
      </c>
      <c r="AJ456" s="43">
        <f t="shared" si="1079"/>
        <v>1000</v>
      </c>
      <c r="AK456" s="235">
        <f t="shared" ref="AK456" si="1080">AK457</f>
        <v>10000</v>
      </c>
      <c r="AL456" s="43">
        <f t="shared" ref="AL456" si="1081">AL457</f>
        <v>10000</v>
      </c>
      <c r="AM456" s="43">
        <f t="shared" ref="AM456" si="1082">AM457</f>
        <v>10000</v>
      </c>
      <c r="AN456" s="43">
        <f t="shared" ref="AN456" si="1083">AN457</f>
        <v>0</v>
      </c>
      <c r="AO456" s="43">
        <f t="shared" ref="AO456" si="1084">AO457</f>
        <v>0</v>
      </c>
      <c r="AP456" s="43"/>
      <c r="AQ456" s="47"/>
      <c r="AR456" s="48">
        <f t="shared" si="1038"/>
        <v>14000</v>
      </c>
      <c r="AS456" s="49" t="e">
        <f>#REF!-AL456</f>
        <v>#REF!</v>
      </c>
    </row>
    <row r="457" spans="2:45" s="50" customFormat="1" ht="48.95" customHeight="1">
      <c r="B457" s="237">
        <v>1</v>
      </c>
      <c r="C457" s="125" t="s">
        <v>490</v>
      </c>
      <c r="D457" s="38">
        <v>1</v>
      </c>
      <c r="E457" s="47"/>
      <c r="F457" s="47"/>
      <c r="G457" s="68"/>
      <c r="H457" s="47"/>
      <c r="I457" s="47">
        <v>1</v>
      </c>
      <c r="J457" s="47">
        <f>I457*AL457</f>
        <v>10000</v>
      </c>
      <c r="K457" s="47"/>
      <c r="L457" s="68">
        <v>1</v>
      </c>
      <c r="M457" s="88"/>
      <c r="N457" s="40" t="s">
        <v>192</v>
      </c>
      <c r="O457" s="39" t="s">
        <v>359</v>
      </c>
      <c r="P457" s="39" t="s">
        <v>360</v>
      </c>
      <c r="Q457" s="40">
        <v>7913462</v>
      </c>
      <c r="R457" s="40"/>
      <c r="S457" s="37"/>
      <c r="T457" s="41" t="s">
        <v>115</v>
      </c>
      <c r="U457" s="39"/>
      <c r="V457" s="41" t="s">
        <v>491</v>
      </c>
      <c r="W457" s="68">
        <v>31481</v>
      </c>
      <c r="X457" s="250"/>
      <c r="Y457" s="68">
        <v>31481</v>
      </c>
      <c r="Z457" s="235"/>
      <c r="AA457" s="68">
        <v>25000</v>
      </c>
      <c r="AB457" s="250">
        <v>25000</v>
      </c>
      <c r="AC457" s="235"/>
      <c r="AD457" s="235"/>
      <c r="AE457" s="235"/>
      <c r="AF457" s="235"/>
      <c r="AG457" s="250">
        <v>1000</v>
      </c>
      <c r="AH457" s="213">
        <v>248.38200000000001</v>
      </c>
      <c r="AI457" s="250">
        <v>1000</v>
      </c>
      <c r="AJ457" s="47">
        <f>AF457+AI457</f>
        <v>1000</v>
      </c>
      <c r="AK457" s="250">
        <v>10000</v>
      </c>
      <c r="AL457" s="47">
        <f t="shared" si="1065"/>
        <v>10000</v>
      </c>
      <c r="AM457" s="68">
        <v>10000</v>
      </c>
      <c r="AN457" s="43"/>
      <c r="AO457" s="43"/>
      <c r="AP457" s="43"/>
      <c r="AQ457" s="47"/>
      <c r="AR457" s="48">
        <f t="shared" si="1038"/>
        <v>14000</v>
      </c>
      <c r="AS457" s="49" t="e">
        <f>#REF!-AL457</f>
        <v>#REF!</v>
      </c>
    </row>
    <row r="458" spans="2:45" s="133" customFormat="1" ht="18" customHeight="1">
      <c r="B458" s="129" t="s">
        <v>444</v>
      </c>
      <c r="C458" s="348" t="s">
        <v>107</v>
      </c>
      <c r="D458" s="439">
        <f>D459</f>
        <v>1</v>
      </c>
      <c r="E458" s="69">
        <f t="shared" ref="E458:J459" si="1085">E459</f>
        <v>0</v>
      </c>
      <c r="F458" s="69"/>
      <c r="G458" s="69">
        <f t="shared" si="1085"/>
        <v>0</v>
      </c>
      <c r="H458" s="69"/>
      <c r="I458" s="69">
        <f t="shared" si="1085"/>
        <v>1</v>
      </c>
      <c r="J458" s="69">
        <f t="shared" si="1085"/>
        <v>70000</v>
      </c>
      <c r="K458" s="69">
        <f t="shared" ref="K458:M459" si="1086">K459</f>
        <v>0</v>
      </c>
      <c r="L458" s="69">
        <f t="shared" si="1086"/>
        <v>1</v>
      </c>
      <c r="M458" s="273">
        <f t="shared" si="1086"/>
        <v>0</v>
      </c>
      <c r="N458" s="122"/>
      <c r="O458" s="122"/>
      <c r="P458" s="122"/>
      <c r="Q458" s="122"/>
      <c r="R458" s="122"/>
      <c r="S458" s="122"/>
      <c r="T458" s="122"/>
      <c r="U458" s="122"/>
      <c r="V458" s="122"/>
      <c r="W458" s="69">
        <f t="shared" ref="W458:W459" si="1087">W459</f>
        <v>314525</v>
      </c>
      <c r="X458" s="236">
        <f t="shared" ref="X458:X459" si="1088">X459</f>
        <v>0</v>
      </c>
      <c r="Y458" s="69">
        <f t="shared" ref="Y458:Y459" si="1089">Y459</f>
        <v>314525</v>
      </c>
      <c r="Z458" s="236">
        <f t="shared" ref="Z458:Z459" si="1090">Z459</f>
        <v>0</v>
      </c>
      <c r="AA458" s="69">
        <f t="shared" ref="AA458:AA459" si="1091">AA459</f>
        <v>128000</v>
      </c>
      <c r="AB458" s="236">
        <f t="shared" ref="AB458:AB459" si="1092">AB459</f>
        <v>0</v>
      </c>
      <c r="AC458" s="236">
        <f t="shared" ref="AC458:AC459" si="1093">AC459</f>
        <v>128000</v>
      </c>
      <c r="AD458" s="236">
        <f t="shared" ref="AD458:AD459" si="1094">AD459</f>
        <v>0</v>
      </c>
      <c r="AE458" s="236">
        <f t="shared" ref="AE458:AE459" si="1095">AE459</f>
        <v>0</v>
      </c>
      <c r="AF458" s="236">
        <f t="shared" ref="AF458:AF459" si="1096">AF459</f>
        <v>0</v>
      </c>
      <c r="AG458" s="236">
        <f t="shared" ref="AG458:AG459" si="1097">AG459</f>
        <v>35000</v>
      </c>
      <c r="AH458" s="236">
        <f t="shared" ref="AH458:AH459" si="1098">AH459</f>
        <v>789.50599999999997</v>
      </c>
      <c r="AI458" s="236">
        <f t="shared" ref="AI458:AJ459" si="1099">AI459</f>
        <v>45000</v>
      </c>
      <c r="AJ458" s="69">
        <f t="shared" si="1099"/>
        <v>45000</v>
      </c>
      <c r="AK458" s="236">
        <f t="shared" ref="AK458:AK459" si="1100">AK459</f>
        <v>70000</v>
      </c>
      <c r="AL458" s="69">
        <f t="shared" ref="AL458:AL459" si="1101">AL459</f>
        <v>70000</v>
      </c>
      <c r="AM458" s="69">
        <f t="shared" ref="AM458:AM459" si="1102">AM459</f>
        <v>0</v>
      </c>
      <c r="AN458" s="69">
        <f t="shared" ref="AN458:AN459" si="1103">AN459</f>
        <v>70000</v>
      </c>
      <c r="AO458" s="69">
        <f t="shared" ref="AO458:AO459" si="1104">AO459</f>
        <v>0</v>
      </c>
      <c r="AP458" s="69"/>
      <c r="AQ458" s="130"/>
      <c r="AR458" s="131">
        <f t="shared" si="1038"/>
        <v>13000</v>
      </c>
      <c r="AS458" s="132" t="e">
        <f>#REF!-AL458</f>
        <v>#REF!</v>
      </c>
    </row>
    <row r="459" spans="2:45" s="50" customFormat="1" ht="42" customHeight="1">
      <c r="B459" s="36"/>
      <c r="C459" s="340" t="s">
        <v>985</v>
      </c>
      <c r="D459" s="247">
        <f>D460</f>
        <v>1</v>
      </c>
      <c r="E459" s="43">
        <f t="shared" si="1085"/>
        <v>0</v>
      </c>
      <c r="F459" s="43"/>
      <c r="G459" s="43">
        <f t="shared" si="1085"/>
        <v>0</v>
      </c>
      <c r="H459" s="43"/>
      <c r="I459" s="43">
        <f t="shared" si="1085"/>
        <v>1</v>
      </c>
      <c r="J459" s="43">
        <f t="shared" si="1085"/>
        <v>70000</v>
      </c>
      <c r="K459" s="43">
        <f t="shared" si="1086"/>
        <v>0</v>
      </c>
      <c r="L459" s="43">
        <f t="shared" si="1086"/>
        <v>1</v>
      </c>
      <c r="M459" s="246">
        <f t="shared" si="1086"/>
        <v>0</v>
      </c>
      <c r="N459" s="39"/>
      <c r="O459" s="39"/>
      <c r="P459" s="39"/>
      <c r="Q459" s="39"/>
      <c r="R459" s="39"/>
      <c r="S459" s="39"/>
      <c r="T459" s="39"/>
      <c r="U459" s="39"/>
      <c r="V459" s="39"/>
      <c r="W459" s="43">
        <f t="shared" si="1087"/>
        <v>314525</v>
      </c>
      <c r="X459" s="235">
        <f t="shared" si="1088"/>
        <v>0</v>
      </c>
      <c r="Y459" s="43">
        <f t="shared" si="1089"/>
        <v>314525</v>
      </c>
      <c r="Z459" s="235">
        <f t="shared" si="1090"/>
        <v>0</v>
      </c>
      <c r="AA459" s="43">
        <f t="shared" si="1091"/>
        <v>128000</v>
      </c>
      <c r="AB459" s="235">
        <f t="shared" si="1092"/>
        <v>0</v>
      </c>
      <c r="AC459" s="235">
        <f t="shared" si="1093"/>
        <v>128000</v>
      </c>
      <c r="AD459" s="235">
        <f t="shared" si="1094"/>
        <v>0</v>
      </c>
      <c r="AE459" s="235">
        <f t="shared" si="1095"/>
        <v>0</v>
      </c>
      <c r="AF459" s="235">
        <f t="shared" si="1096"/>
        <v>0</v>
      </c>
      <c r="AG459" s="235">
        <f t="shared" si="1097"/>
        <v>35000</v>
      </c>
      <c r="AH459" s="235">
        <f t="shared" si="1098"/>
        <v>789.50599999999997</v>
      </c>
      <c r="AI459" s="235">
        <f t="shared" si="1099"/>
        <v>45000</v>
      </c>
      <c r="AJ459" s="43">
        <f t="shared" si="1099"/>
        <v>45000</v>
      </c>
      <c r="AK459" s="235">
        <f t="shared" si="1100"/>
        <v>70000</v>
      </c>
      <c r="AL459" s="43">
        <f t="shared" si="1101"/>
        <v>70000</v>
      </c>
      <c r="AM459" s="43">
        <f t="shared" si="1102"/>
        <v>0</v>
      </c>
      <c r="AN459" s="43">
        <f t="shared" si="1103"/>
        <v>70000</v>
      </c>
      <c r="AO459" s="43">
        <f t="shared" si="1104"/>
        <v>0</v>
      </c>
      <c r="AP459" s="43"/>
      <c r="AQ459" s="47"/>
      <c r="AR459" s="48">
        <f t="shared" si="1038"/>
        <v>13000</v>
      </c>
      <c r="AS459" s="49" t="e">
        <f>#REF!-AL459</f>
        <v>#REF!</v>
      </c>
    </row>
    <row r="460" spans="2:45" s="50" customFormat="1" ht="54.6" customHeight="1">
      <c r="B460" s="237">
        <v>1</v>
      </c>
      <c r="C460" s="125" t="s">
        <v>445</v>
      </c>
      <c r="D460" s="38">
        <v>1</v>
      </c>
      <c r="E460" s="47"/>
      <c r="F460" s="47"/>
      <c r="G460" s="68"/>
      <c r="H460" s="47"/>
      <c r="I460" s="47">
        <v>1</v>
      </c>
      <c r="J460" s="47">
        <f>I460*AL460</f>
        <v>70000</v>
      </c>
      <c r="K460" s="47"/>
      <c r="L460" s="68">
        <v>1</v>
      </c>
      <c r="M460" s="88"/>
      <c r="N460" s="40" t="s">
        <v>111</v>
      </c>
      <c r="O460" s="39" t="s">
        <v>109</v>
      </c>
      <c r="P460" s="39" t="s">
        <v>446</v>
      </c>
      <c r="Q460" s="40">
        <v>7915628</v>
      </c>
      <c r="R460" s="40"/>
      <c r="S460" s="40"/>
      <c r="T460" s="41" t="s">
        <v>133</v>
      </c>
      <c r="U460" s="39"/>
      <c r="V460" s="145" t="s">
        <v>447</v>
      </c>
      <c r="W460" s="61">
        <v>314525</v>
      </c>
      <c r="X460" s="250"/>
      <c r="Y460" s="61">
        <v>314525</v>
      </c>
      <c r="Z460" s="235"/>
      <c r="AA460" s="61">
        <v>128000</v>
      </c>
      <c r="AB460" s="235"/>
      <c r="AC460" s="241">
        <v>128000</v>
      </c>
      <c r="AD460" s="235"/>
      <c r="AE460" s="235"/>
      <c r="AF460" s="235"/>
      <c r="AG460" s="241">
        <v>35000</v>
      </c>
      <c r="AH460" s="213">
        <v>789.50599999999997</v>
      </c>
      <c r="AI460" s="241">
        <v>45000</v>
      </c>
      <c r="AJ460" s="47">
        <f>AF460+AI460</f>
        <v>45000</v>
      </c>
      <c r="AK460" s="241">
        <v>70000</v>
      </c>
      <c r="AL460" s="47">
        <f t="shared" ref="AL460" si="1105">AM460+AN460+AO460</f>
        <v>70000</v>
      </c>
      <c r="AM460" s="43"/>
      <c r="AN460" s="61">
        <v>70000</v>
      </c>
      <c r="AO460" s="43"/>
      <c r="AP460" s="43"/>
      <c r="AQ460" s="47"/>
      <c r="AR460" s="48">
        <f t="shared" si="1038"/>
        <v>13000</v>
      </c>
      <c r="AS460" s="49" t="e">
        <f>#REF!-AL460</f>
        <v>#REF!</v>
      </c>
    </row>
    <row r="461" spans="2:45" s="50" customFormat="1" ht="33.6" customHeight="1">
      <c r="B461" s="36" t="s">
        <v>236</v>
      </c>
      <c r="C461" s="340" t="s">
        <v>120</v>
      </c>
      <c r="D461" s="247">
        <f t="shared" ref="D461:J461" si="1106">D462+D476</f>
        <v>10</v>
      </c>
      <c r="E461" s="43">
        <f t="shared" si="1106"/>
        <v>10</v>
      </c>
      <c r="F461" s="43">
        <f t="shared" si="1106"/>
        <v>205000</v>
      </c>
      <c r="G461" s="43">
        <f t="shared" si="1106"/>
        <v>0</v>
      </c>
      <c r="H461" s="43">
        <f t="shared" si="1106"/>
        <v>0</v>
      </c>
      <c r="I461" s="43">
        <f t="shared" si="1106"/>
        <v>0</v>
      </c>
      <c r="J461" s="43">
        <f t="shared" si="1106"/>
        <v>0</v>
      </c>
      <c r="K461" s="43" t="e">
        <f>K462+K476</f>
        <v>#REF!</v>
      </c>
      <c r="L461" s="43" t="e">
        <f>L462+L476</f>
        <v>#REF!</v>
      </c>
      <c r="M461" s="246" t="e">
        <f>M462+M476</f>
        <v>#REF!</v>
      </c>
      <c r="N461" s="39"/>
      <c r="O461" s="39"/>
      <c r="P461" s="39"/>
      <c r="Q461" s="39"/>
      <c r="R461" s="39"/>
      <c r="S461" s="39"/>
      <c r="T461" s="39"/>
      <c r="U461" s="39"/>
      <c r="V461" s="39"/>
      <c r="W461" s="43">
        <f t="shared" ref="W461:AP461" si="1107">W462+W476</f>
        <v>1130639.57</v>
      </c>
      <c r="X461" s="235">
        <f t="shared" si="1107"/>
        <v>0</v>
      </c>
      <c r="Y461" s="43">
        <f t="shared" si="1107"/>
        <v>1127370.57</v>
      </c>
      <c r="Z461" s="235">
        <f t="shared" si="1107"/>
        <v>0</v>
      </c>
      <c r="AA461" s="43">
        <f t="shared" si="1107"/>
        <v>421000</v>
      </c>
      <c r="AB461" s="235">
        <f t="shared" si="1107"/>
        <v>330000</v>
      </c>
      <c r="AC461" s="235">
        <f t="shared" si="1107"/>
        <v>60000</v>
      </c>
      <c r="AD461" s="235">
        <f t="shared" si="1107"/>
        <v>0</v>
      </c>
      <c r="AE461" s="235">
        <f t="shared" si="1107"/>
        <v>0</v>
      </c>
      <c r="AF461" s="235">
        <f t="shared" si="1107"/>
        <v>0</v>
      </c>
      <c r="AG461" s="235">
        <f t="shared" si="1107"/>
        <v>20000</v>
      </c>
      <c r="AH461" s="235">
        <f t="shared" si="1107"/>
        <v>0</v>
      </c>
      <c r="AI461" s="235">
        <f t="shared" si="1107"/>
        <v>0</v>
      </c>
      <c r="AJ461" s="43">
        <f t="shared" si="1107"/>
        <v>0</v>
      </c>
      <c r="AK461" s="235">
        <f t="shared" si="1107"/>
        <v>298000</v>
      </c>
      <c r="AL461" s="43">
        <f t="shared" si="1107"/>
        <v>205000</v>
      </c>
      <c r="AM461" s="43">
        <f t="shared" si="1107"/>
        <v>145000</v>
      </c>
      <c r="AN461" s="43">
        <f t="shared" si="1107"/>
        <v>60000</v>
      </c>
      <c r="AO461" s="43">
        <f t="shared" si="1107"/>
        <v>0</v>
      </c>
      <c r="AP461" s="43">
        <f t="shared" si="1107"/>
        <v>0</v>
      </c>
      <c r="AQ461" s="47"/>
      <c r="AR461" s="48">
        <f t="shared" si="1038"/>
        <v>216000</v>
      </c>
      <c r="AS461" s="49" t="e">
        <f>#REF!-AL461</f>
        <v>#REF!</v>
      </c>
    </row>
    <row r="462" spans="2:45" s="133" customFormat="1" ht="24" customHeight="1">
      <c r="B462" s="129" t="s">
        <v>237</v>
      </c>
      <c r="C462" s="348" t="s">
        <v>119</v>
      </c>
      <c r="D462" s="439">
        <f t="shared" ref="D462" si="1108">D463+D466+D470+D472</f>
        <v>6</v>
      </c>
      <c r="E462" s="69">
        <f t="shared" ref="E462" si="1109">E463+E466+E470+E472</f>
        <v>6</v>
      </c>
      <c r="F462" s="69">
        <f t="shared" ref="F462" si="1110">F463+F466+F470+F472</f>
        <v>65000</v>
      </c>
      <c r="G462" s="69">
        <f t="shared" ref="G462" si="1111">G463+G466+G470+G472</f>
        <v>0</v>
      </c>
      <c r="H462" s="69">
        <f t="shared" ref="H462" si="1112">H463+H466+H470+H472</f>
        <v>0</v>
      </c>
      <c r="I462" s="69">
        <f t="shared" ref="I462" si="1113">I463+I466+I470+I472</f>
        <v>0</v>
      </c>
      <c r="J462" s="69">
        <f t="shared" ref="J462" si="1114">J463+J466+J470+J472</f>
        <v>0</v>
      </c>
      <c r="K462" s="69" t="e">
        <f>K466+K470+#REF!+K472</f>
        <v>#REF!</v>
      </c>
      <c r="L462" s="69" t="e">
        <f>L466+L470+#REF!+L472</f>
        <v>#REF!</v>
      </c>
      <c r="M462" s="273" t="e">
        <f>M466+M470+#REF!+M472</f>
        <v>#REF!</v>
      </c>
      <c r="N462" s="122"/>
      <c r="O462" s="122"/>
      <c r="P462" s="122"/>
      <c r="Q462" s="122"/>
      <c r="R462" s="122"/>
      <c r="S462" s="122"/>
      <c r="T462" s="122"/>
      <c r="U462" s="122"/>
      <c r="V462" s="122"/>
      <c r="W462" s="69">
        <f t="shared" ref="W462" si="1115">W463+W466+W470+W472</f>
        <v>251876.57</v>
      </c>
      <c r="X462" s="69">
        <f t="shared" ref="X462" si="1116">X463+X466+X470+X472</f>
        <v>0</v>
      </c>
      <c r="Y462" s="69">
        <f t="shared" ref="Y462" si="1117">Y463+Y466+Y470+Y472</f>
        <v>248607.57</v>
      </c>
      <c r="Z462" s="69">
        <f t="shared" ref="Z462" si="1118">Z463+Z466+Z470+Z472</f>
        <v>0</v>
      </c>
      <c r="AA462" s="69">
        <f t="shared" ref="AA462" si="1119">AA463+AA466+AA470+AA472</f>
        <v>98000</v>
      </c>
      <c r="AB462" s="236">
        <f t="shared" ref="AB462" si="1120">AB463+AB466+AB470+AB472</f>
        <v>67000</v>
      </c>
      <c r="AC462" s="236">
        <f t="shared" ref="AC462" si="1121">AC463+AC466+AC470+AC472</f>
        <v>0</v>
      </c>
      <c r="AD462" s="236">
        <f t="shared" ref="AD462" si="1122">AD463+AD466+AD470+AD472</f>
        <v>0</v>
      </c>
      <c r="AE462" s="236">
        <f t="shared" ref="AE462" si="1123">AE463+AE466+AE470+AE472</f>
        <v>0</v>
      </c>
      <c r="AF462" s="236">
        <f t="shared" ref="AF462" si="1124">AF463+AF466+AF470+AF472</f>
        <v>0</v>
      </c>
      <c r="AG462" s="236">
        <f t="shared" ref="AG462" si="1125">AG463+AG466+AG470+AG472</f>
        <v>0</v>
      </c>
      <c r="AH462" s="236">
        <f t="shared" ref="AH462" si="1126">AH463+AH466+AH470+AH472</f>
        <v>0</v>
      </c>
      <c r="AI462" s="236">
        <f t="shared" ref="AI462" si="1127">AI463+AI466+AI470+AI472</f>
        <v>0</v>
      </c>
      <c r="AJ462" s="69">
        <f t="shared" ref="AJ462" si="1128">AJ463+AJ466+AJ470+AJ472</f>
        <v>0</v>
      </c>
      <c r="AK462" s="236">
        <f t="shared" ref="AK462:AP462" si="1129">AK463+AK466+AK470+AK472</f>
        <v>73000</v>
      </c>
      <c r="AL462" s="69">
        <f t="shared" si="1129"/>
        <v>65000</v>
      </c>
      <c r="AM462" s="69">
        <f t="shared" si="1129"/>
        <v>65000</v>
      </c>
      <c r="AN462" s="69">
        <f t="shared" si="1129"/>
        <v>0</v>
      </c>
      <c r="AO462" s="69">
        <f t="shared" si="1129"/>
        <v>0</v>
      </c>
      <c r="AP462" s="69">
        <f t="shared" si="1129"/>
        <v>0</v>
      </c>
      <c r="AQ462" s="130"/>
      <c r="AR462" s="131">
        <f t="shared" si="1038"/>
        <v>33000</v>
      </c>
      <c r="AS462" s="132" t="e">
        <f>#REF!-AL462</f>
        <v>#REF!</v>
      </c>
    </row>
    <row r="463" spans="2:45" s="133" customFormat="1" ht="38.1" customHeight="1">
      <c r="B463" s="129"/>
      <c r="C463" s="340" t="s">
        <v>958</v>
      </c>
      <c r="D463" s="247">
        <f t="shared" ref="D463" si="1130">D464+D465</f>
        <v>2</v>
      </c>
      <c r="E463" s="43">
        <f t="shared" ref="E463" si="1131">E464+E465</f>
        <v>2</v>
      </c>
      <c r="F463" s="43">
        <f t="shared" ref="F463" si="1132">F464+F465</f>
        <v>17000</v>
      </c>
      <c r="G463" s="43">
        <f t="shared" ref="G463" si="1133">G464+G465</f>
        <v>0</v>
      </c>
      <c r="H463" s="43">
        <f t="shared" ref="H463" si="1134">H464+H465</f>
        <v>0</v>
      </c>
      <c r="I463" s="43">
        <f t="shared" ref="I463" si="1135">I464+I465</f>
        <v>0</v>
      </c>
      <c r="J463" s="43">
        <f t="shared" ref="J463" si="1136">J464+J465</f>
        <v>0</v>
      </c>
      <c r="K463" s="69"/>
      <c r="L463" s="69"/>
      <c r="M463" s="273"/>
      <c r="N463" s="122"/>
      <c r="O463" s="122"/>
      <c r="P463" s="122"/>
      <c r="Q463" s="122"/>
      <c r="R463" s="122"/>
      <c r="S463" s="122"/>
      <c r="T463" s="122"/>
      <c r="U463" s="122"/>
      <c r="V463" s="122"/>
      <c r="W463" s="43">
        <f t="shared" ref="W463:AJ463" si="1137">W464+W465</f>
        <v>20269</v>
      </c>
      <c r="X463" s="43">
        <f t="shared" si="1137"/>
        <v>0</v>
      </c>
      <c r="Y463" s="43">
        <f t="shared" si="1137"/>
        <v>17000</v>
      </c>
      <c r="Z463" s="43">
        <f t="shared" si="1137"/>
        <v>0</v>
      </c>
      <c r="AA463" s="43">
        <f t="shared" si="1137"/>
        <v>17000</v>
      </c>
      <c r="AB463" s="235">
        <f t="shared" si="1137"/>
        <v>0</v>
      </c>
      <c r="AC463" s="235">
        <f t="shared" si="1137"/>
        <v>0</v>
      </c>
      <c r="AD463" s="235">
        <f t="shared" si="1137"/>
        <v>0</v>
      </c>
      <c r="AE463" s="235">
        <f t="shared" si="1137"/>
        <v>0</v>
      </c>
      <c r="AF463" s="235">
        <f t="shared" si="1137"/>
        <v>0</v>
      </c>
      <c r="AG463" s="235">
        <f t="shared" si="1137"/>
        <v>0</v>
      </c>
      <c r="AH463" s="235">
        <f t="shared" si="1137"/>
        <v>0</v>
      </c>
      <c r="AI463" s="235">
        <f t="shared" si="1137"/>
        <v>0</v>
      </c>
      <c r="AJ463" s="43">
        <f t="shared" si="1137"/>
        <v>0</v>
      </c>
      <c r="AK463" s="235">
        <f>AK464+AK465</f>
        <v>17000</v>
      </c>
      <c r="AL463" s="43">
        <f t="shared" ref="AL463:AP463" si="1138">AL464+AL465</f>
        <v>17000</v>
      </c>
      <c r="AM463" s="43">
        <f t="shared" si="1138"/>
        <v>17000</v>
      </c>
      <c r="AN463" s="43">
        <f t="shared" si="1138"/>
        <v>0</v>
      </c>
      <c r="AO463" s="43">
        <f t="shared" si="1138"/>
        <v>0</v>
      </c>
      <c r="AP463" s="43">
        <f t="shared" si="1138"/>
        <v>0</v>
      </c>
      <c r="AQ463" s="130"/>
      <c r="AR463" s="131"/>
      <c r="AS463" s="132"/>
    </row>
    <row r="464" spans="2:45" s="50" customFormat="1" ht="47.1" customHeight="1">
      <c r="B464" s="36"/>
      <c r="C464" s="125" t="s">
        <v>1004</v>
      </c>
      <c r="D464" s="93">
        <v>1</v>
      </c>
      <c r="E464" s="47">
        <v>1</v>
      </c>
      <c r="F464" s="47">
        <f>E464*AL464</f>
        <v>12000</v>
      </c>
      <c r="G464" s="43"/>
      <c r="H464" s="43"/>
      <c r="I464" s="43"/>
      <c r="J464" s="43"/>
      <c r="K464" s="43"/>
      <c r="L464" s="43"/>
      <c r="M464" s="246"/>
      <c r="N464" s="39" t="s">
        <v>192</v>
      </c>
      <c r="O464" s="39" t="s">
        <v>359</v>
      </c>
      <c r="P464" s="39" t="s">
        <v>360</v>
      </c>
      <c r="Q464" s="39">
        <v>7972038</v>
      </c>
      <c r="R464" s="39"/>
      <c r="S464" s="39" t="s">
        <v>1011</v>
      </c>
      <c r="T464" s="39" t="s">
        <v>115</v>
      </c>
      <c r="U464" s="39"/>
      <c r="V464" s="39" t="s">
        <v>1006</v>
      </c>
      <c r="W464" s="47">
        <v>14385</v>
      </c>
      <c r="X464" s="235"/>
      <c r="Y464" s="47">
        <v>12000</v>
      </c>
      <c r="Z464" s="43"/>
      <c r="AA464" s="47">
        <v>12000</v>
      </c>
      <c r="AB464" s="235"/>
      <c r="AC464" s="235"/>
      <c r="AD464" s="235"/>
      <c r="AE464" s="235"/>
      <c r="AF464" s="235"/>
      <c r="AG464" s="235"/>
      <c r="AH464" s="235"/>
      <c r="AI464" s="235"/>
      <c r="AJ464" s="47">
        <f t="shared" ref="AJ464:AJ465" si="1139">AF464+AI464</f>
        <v>0</v>
      </c>
      <c r="AK464" s="241">
        <v>12000</v>
      </c>
      <c r="AL464" s="47">
        <f t="shared" ref="AL464:AL465" si="1140">AM464+AN464+AO464</f>
        <v>12000</v>
      </c>
      <c r="AM464" s="47">
        <v>12000</v>
      </c>
      <c r="AN464" s="43"/>
      <c r="AO464" s="43"/>
      <c r="AP464" s="43"/>
      <c r="AQ464" s="47"/>
      <c r="AR464" s="48"/>
      <c r="AS464" s="49"/>
    </row>
    <row r="465" spans="2:45" s="50" customFormat="1" ht="54" customHeight="1">
      <c r="B465" s="36"/>
      <c r="C465" s="125" t="s">
        <v>1005</v>
      </c>
      <c r="D465" s="93">
        <v>1</v>
      </c>
      <c r="E465" s="47">
        <v>1</v>
      </c>
      <c r="F465" s="47">
        <f>E465*AL465</f>
        <v>5000</v>
      </c>
      <c r="G465" s="43"/>
      <c r="H465" s="43"/>
      <c r="I465" s="43"/>
      <c r="J465" s="43"/>
      <c r="K465" s="43"/>
      <c r="L465" s="43"/>
      <c r="M465" s="246"/>
      <c r="N465" s="39" t="s">
        <v>192</v>
      </c>
      <c r="O465" s="39" t="s">
        <v>359</v>
      </c>
      <c r="P465" s="39" t="s">
        <v>360</v>
      </c>
      <c r="Q465" s="39">
        <v>7892929</v>
      </c>
      <c r="R465" s="39"/>
      <c r="S465" s="39" t="s">
        <v>1012</v>
      </c>
      <c r="T465" s="39" t="s">
        <v>116</v>
      </c>
      <c r="U465" s="39"/>
      <c r="V465" s="39" t="s">
        <v>1007</v>
      </c>
      <c r="W465" s="47">
        <v>5884</v>
      </c>
      <c r="X465" s="235"/>
      <c r="Y465" s="47">
        <v>5000</v>
      </c>
      <c r="Z465" s="43"/>
      <c r="AA465" s="47">
        <v>5000</v>
      </c>
      <c r="AB465" s="235"/>
      <c r="AC465" s="235"/>
      <c r="AD465" s="235"/>
      <c r="AE465" s="235"/>
      <c r="AF465" s="235"/>
      <c r="AG465" s="235"/>
      <c r="AH465" s="235"/>
      <c r="AI465" s="235"/>
      <c r="AJ465" s="47">
        <f t="shared" si="1139"/>
        <v>0</v>
      </c>
      <c r="AK465" s="241">
        <v>5000</v>
      </c>
      <c r="AL465" s="47">
        <f t="shared" si="1140"/>
        <v>5000</v>
      </c>
      <c r="AM465" s="47">
        <v>5000</v>
      </c>
      <c r="AN465" s="43"/>
      <c r="AO465" s="43"/>
      <c r="AP465" s="43"/>
      <c r="AQ465" s="47"/>
      <c r="AR465" s="48"/>
      <c r="AS465" s="49"/>
    </row>
    <row r="466" spans="2:45" s="50" customFormat="1" ht="39.6" customHeight="1">
      <c r="B466" s="36"/>
      <c r="C466" s="340" t="s">
        <v>954</v>
      </c>
      <c r="D466" s="247">
        <f t="shared" ref="D466" si="1141">D467+D468+D469</f>
        <v>3</v>
      </c>
      <c r="E466" s="43">
        <f t="shared" ref="E466" si="1142">E467+E468+E469</f>
        <v>3</v>
      </c>
      <c r="F466" s="43">
        <f t="shared" ref="F466" si="1143">F467+F468+F469</f>
        <v>38000</v>
      </c>
      <c r="G466" s="43">
        <f t="shared" ref="G466" si="1144">G467+G468+G469</f>
        <v>0</v>
      </c>
      <c r="H466" s="43">
        <f t="shared" ref="H466" si="1145">H467+H468+H469</f>
        <v>0</v>
      </c>
      <c r="I466" s="43">
        <f t="shared" ref="I466" si="1146">I467+I468+I469</f>
        <v>0</v>
      </c>
      <c r="J466" s="43">
        <f t="shared" ref="J466" si="1147">J467+J468+J469</f>
        <v>0</v>
      </c>
      <c r="K466" s="43">
        <f t="shared" ref="K466:M466" si="1148">K467</f>
        <v>0</v>
      </c>
      <c r="L466" s="43">
        <f t="shared" si="1148"/>
        <v>1</v>
      </c>
      <c r="M466" s="246">
        <f t="shared" si="1148"/>
        <v>0</v>
      </c>
      <c r="N466" s="39"/>
      <c r="O466" s="39"/>
      <c r="P466" s="39"/>
      <c r="Q466" s="39"/>
      <c r="R466" s="39"/>
      <c r="S466" s="39"/>
      <c r="T466" s="39"/>
      <c r="U466" s="39"/>
      <c r="V466" s="39"/>
      <c r="W466" s="43">
        <f t="shared" ref="W466:AJ466" si="1149">W467+W468+W469</f>
        <v>217174.57</v>
      </c>
      <c r="X466" s="43">
        <f t="shared" si="1149"/>
        <v>0</v>
      </c>
      <c r="Y466" s="43">
        <f t="shared" si="1149"/>
        <v>217174.57</v>
      </c>
      <c r="Z466" s="43">
        <f t="shared" si="1149"/>
        <v>0</v>
      </c>
      <c r="AA466" s="43">
        <f t="shared" si="1149"/>
        <v>67000</v>
      </c>
      <c r="AB466" s="235">
        <f t="shared" si="1149"/>
        <v>67000</v>
      </c>
      <c r="AC466" s="235">
        <f t="shared" si="1149"/>
        <v>0</v>
      </c>
      <c r="AD466" s="235">
        <f t="shared" si="1149"/>
        <v>0</v>
      </c>
      <c r="AE466" s="235">
        <f t="shared" si="1149"/>
        <v>0</v>
      </c>
      <c r="AF466" s="235">
        <f t="shared" si="1149"/>
        <v>0</v>
      </c>
      <c r="AG466" s="235">
        <f t="shared" si="1149"/>
        <v>0</v>
      </c>
      <c r="AH466" s="235">
        <f t="shared" si="1149"/>
        <v>0</v>
      </c>
      <c r="AI466" s="235">
        <f t="shared" si="1149"/>
        <v>0</v>
      </c>
      <c r="AJ466" s="43">
        <f t="shared" si="1149"/>
        <v>0</v>
      </c>
      <c r="AK466" s="235">
        <f t="shared" ref="AK466:AP466" si="1150">AK467+AK468+AK469</f>
        <v>42000</v>
      </c>
      <c r="AL466" s="43">
        <f t="shared" si="1150"/>
        <v>38000</v>
      </c>
      <c r="AM466" s="43">
        <f t="shared" si="1150"/>
        <v>38000</v>
      </c>
      <c r="AN466" s="43">
        <f t="shared" si="1150"/>
        <v>0</v>
      </c>
      <c r="AO466" s="43">
        <f t="shared" si="1150"/>
        <v>0</v>
      </c>
      <c r="AP466" s="43">
        <f t="shared" si="1150"/>
        <v>0</v>
      </c>
      <c r="AQ466" s="47"/>
      <c r="AR466" s="48">
        <f>AA466-(AF466+AI466+AL466)</f>
        <v>29000</v>
      </c>
      <c r="AS466" s="49" t="e">
        <f>#REF!-AL466</f>
        <v>#REF!</v>
      </c>
    </row>
    <row r="467" spans="2:45" s="50" customFormat="1" ht="48" customHeight="1">
      <c r="B467" s="237">
        <v>1</v>
      </c>
      <c r="C467" s="312" t="s">
        <v>805</v>
      </c>
      <c r="D467" s="93">
        <v>1</v>
      </c>
      <c r="E467" s="47">
        <v>1</v>
      </c>
      <c r="F467" s="47">
        <f>E467*AL467</f>
        <v>3000</v>
      </c>
      <c r="G467" s="47"/>
      <c r="H467" s="47"/>
      <c r="I467" s="47"/>
      <c r="J467" s="47"/>
      <c r="K467" s="47"/>
      <c r="L467" s="47">
        <v>1</v>
      </c>
      <c r="M467" s="88"/>
      <c r="N467" s="39" t="s">
        <v>161</v>
      </c>
      <c r="O467" s="39" t="s">
        <v>362</v>
      </c>
      <c r="P467" s="39" t="s">
        <v>363</v>
      </c>
      <c r="Q467" s="39">
        <v>7929060</v>
      </c>
      <c r="R467" s="39"/>
      <c r="S467" s="39"/>
      <c r="T467" s="39" t="s">
        <v>115</v>
      </c>
      <c r="U467" s="39" t="s">
        <v>368</v>
      </c>
      <c r="V467" s="78" t="s">
        <v>806</v>
      </c>
      <c r="W467" s="47">
        <v>75838</v>
      </c>
      <c r="X467" s="120"/>
      <c r="Y467" s="47">
        <v>75838</v>
      </c>
      <c r="Z467" s="235"/>
      <c r="AA467" s="47">
        <v>7000</v>
      </c>
      <c r="AB467" s="120">
        <v>7000</v>
      </c>
      <c r="AC467" s="235"/>
      <c r="AD467" s="235"/>
      <c r="AE467" s="235"/>
      <c r="AF467" s="235"/>
      <c r="AG467" s="235"/>
      <c r="AH467" s="235"/>
      <c r="AI467" s="235"/>
      <c r="AJ467" s="47">
        <f>AF467+AI467</f>
        <v>0</v>
      </c>
      <c r="AK467" s="120">
        <v>7000</v>
      </c>
      <c r="AL467" s="47">
        <f t="shared" ref="AL467:AL468" si="1151">AM467+AN467+AO467</f>
        <v>3000</v>
      </c>
      <c r="AM467" s="47">
        <v>3000</v>
      </c>
      <c r="AN467" s="43"/>
      <c r="AO467" s="43"/>
      <c r="AP467" s="43"/>
      <c r="AQ467" s="47"/>
      <c r="AR467" s="48">
        <f>AA467-(AF467+AI467+AL467)</f>
        <v>4000</v>
      </c>
      <c r="AS467" s="49" t="e">
        <f>#REF!-AL467</f>
        <v>#REF!</v>
      </c>
    </row>
    <row r="468" spans="2:45" s="50" customFormat="1" ht="68.099999999999994" customHeight="1">
      <c r="B468" s="237">
        <v>2</v>
      </c>
      <c r="C468" s="345" t="s">
        <v>807</v>
      </c>
      <c r="D468" s="93">
        <v>1</v>
      </c>
      <c r="E468" s="47">
        <v>1</v>
      </c>
      <c r="F468" s="47">
        <f>E468*AL468</f>
        <v>12000</v>
      </c>
      <c r="G468" s="47"/>
      <c r="H468" s="47"/>
      <c r="I468" s="47"/>
      <c r="J468" s="47"/>
      <c r="K468" s="47"/>
      <c r="L468" s="47">
        <v>1</v>
      </c>
      <c r="M468" s="88"/>
      <c r="N468" s="39" t="s">
        <v>161</v>
      </c>
      <c r="O468" s="39" t="s">
        <v>362</v>
      </c>
      <c r="P468" s="39" t="s">
        <v>363</v>
      </c>
      <c r="Q468" s="39">
        <v>7921574</v>
      </c>
      <c r="R468" s="39"/>
      <c r="S468" s="90" t="s">
        <v>379</v>
      </c>
      <c r="T468" s="145" t="s">
        <v>115</v>
      </c>
      <c r="U468" s="39" t="s">
        <v>547</v>
      </c>
      <c r="V468" s="39" t="s">
        <v>564</v>
      </c>
      <c r="W468" s="60">
        <v>71381</v>
      </c>
      <c r="X468" s="265"/>
      <c r="Y468" s="60">
        <v>71381</v>
      </c>
      <c r="Z468" s="235"/>
      <c r="AA468" s="62">
        <v>30000</v>
      </c>
      <c r="AB468" s="265">
        <v>30000</v>
      </c>
      <c r="AC468" s="265"/>
      <c r="AD468" s="235"/>
      <c r="AE468" s="235"/>
      <c r="AF468" s="235"/>
      <c r="AG468" s="235"/>
      <c r="AH468" s="235"/>
      <c r="AI468" s="235"/>
      <c r="AJ468" s="47">
        <f>AF468+AI468</f>
        <v>0</v>
      </c>
      <c r="AK468" s="265">
        <v>12000</v>
      </c>
      <c r="AL468" s="47">
        <f t="shared" si="1151"/>
        <v>12000</v>
      </c>
      <c r="AM468" s="62">
        <v>12000</v>
      </c>
      <c r="AN468" s="62"/>
      <c r="AO468" s="43"/>
      <c r="AP468" s="43"/>
      <c r="AQ468" s="47"/>
      <c r="AR468" s="48">
        <f>AA468-(AF468+AI468+AL468)</f>
        <v>18000</v>
      </c>
      <c r="AS468" s="49" t="e">
        <f>#REF!-AL468</f>
        <v>#REF!</v>
      </c>
    </row>
    <row r="469" spans="2:45" s="50" customFormat="1" ht="68.099999999999994" customHeight="1">
      <c r="B469" s="237">
        <v>3</v>
      </c>
      <c r="C469" s="345" t="s">
        <v>1024</v>
      </c>
      <c r="D469" s="93">
        <v>1</v>
      </c>
      <c r="E469" s="47">
        <v>1</v>
      </c>
      <c r="F469" s="47">
        <f>E469*AL469</f>
        <v>23000</v>
      </c>
      <c r="G469" s="47"/>
      <c r="H469" s="47"/>
      <c r="I469" s="47"/>
      <c r="J469" s="47"/>
      <c r="K469" s="47"/>
      <c r="L469" s="47"/>
      <c r="M469" s="88"/>
      <c r="N469" s="39" t="s">
        <v>161</v>
      </c>
      <c r="O469" s="39" t="s">
        <v>362</v>
      </c>
      <c r="P469" s="39" t="s">
        <v>363</v>
      </c>
      <c r="Q469" s="39" t="s">
        <v>1025</v>
      </c>
      <c r="R469" s="39"/>
      <c r="S469" s="90" t="s">
        <v>1026</v>
      </c>
      <c r="T469" s="145" t="s">
        <v>114</v>
      </c>
      <c r="U469" s="39"/>
      <c r="V469" s="39" t="s">
        <v>1027</v>
      </c>
      <c r="W469" s="60">
        <v>69955.570000000007</v>
      </c>
      <c r="X469" s="265"/>
      <c r="Y469" s="60">
        <v>69955.570000000007</v>
      </c>
      <c r="Z469" s="235"/>
      <c r="AA469" s="62">
        <v>30000</v>
      </c>
      <c r="AB469" s="265">
        <v>30000</v>
      </c>
      <c r="AC469" s="265"/>
      <c r="AD469" s="235"/>
      <c r="AE469" s="235"/>
      <c r="AF469" s="235"/>
      <c r="AG469" s="235"/>
      <c r="AH469" s="235"/>
      <c r="AI469" s="235"/>
      <c r="AJ469" s="47">
        <f>AF469+AI469</f>
        <v>0</v>
      </c>
      <c r="AK469" s="265">
        <v>23000</v>
      </c>
      <c r="AL469" s="47">
        <f t="shared" ref="AL469" si="1152">AM469+AN469+AO469</f>
        <v>23000</v>
      </c>
      <c r="AM469" s="62">
        <v>23000</v>
      </c>
      <c r="AN469" s="62"/>
      <c r="AO469" s="43"/>
      <c r="AP469" s="43"/>
      <c r="AQ469" s="47"/>
      <c r="AR469" s="48"/>
      <c r="AS469" s="49"/>
    </row>
    <row r="470" spans="2:45" s="1" customFormat="1" ht="33.6" hidden="1" customHeight="1">
      <c r="B470" s="114"/>
      <c r="C470" s="391"/>
      <c r="D470" s="455"/>
      <c r="E470" s="63"/>
      <c r="F470" s="63"/>
      <c r="G470" s="63"/>
      <c r="H470" s="63"/>
      <c r="I470" s="63"/>
      <c r="J470" s="63"/>
      <c r="K470" s="63"/>
      <c r="L470" s="63"/>
      <c r="M470" s="375"/>
      <c r="N470" s="115"/>
      <c r="O470" s="115"/>
      <c r="P470" s="115"/>
      <c r="Q470" s="115"/>
      <c r="R470" s="115"/>
      <c r="S470" s="115"/>
      <c r="T470" s="115"/>
      <c r="U470" s="115"/>
      <c r="V470" s="115"/>
      <c r="W470" s="63"/>
      <c r="X470" s="63"/>
      <c r="Y470" s="63"/>
      <c r="Z470" s="63"/>
      <c r="AA470" s="63"/>
      <c r="AB470" s="235"/>
      <c r="AC470" s="235"/>
      <c r="AD470" s="235"/>
      <c r="AE470" s="235"/>
      <c r="AF470" s="235"/>
      <c r="AG470" s="235"/>
      <c r="AH470" s="235"/>
      <c r="AI470" s="235"/>
      <c r="AJ470" s="63"/>
      <c r="AK470" s="235"/>
      <c r="AL470" s="63"/>
      <c r="AM470" s="63"/>
      <c r="AN470" s="63"/>
      <c r="AO470" s="63"/>
      <c r="AP470" s="63"/>
      <c r="AQ470" s="45"/>
      <c r="AR470" s="104"/>
      <c r="AS470" s="116"/>
    </row>
    <row r="471" spans="2:45" s="1" customFormat="1" ht="62.45" hidden="1" customHeight="1">
      <c r="B471" s="402"/>
      <c r="C471" s="387"/>
      <c r="D471" s="309"/>
      <c r="E471" s="45"/>
      <c r="F471" s="45"/>
      <c r="G471" s="45"/>
      <c r="H471" s="45"/>
      <c r="I471" s="45"/>
      <c r="J471" s="45"/>
      <c r="K471" s="45"/>
      <c r="L471" s="45"/>
      <c r="M471" s="389"/>
      <c r="N471" s="115"/>
      <c r="O471" s="115"/>
      <c r="P471" s="115"/>
      <c r="Q471" s="115"/>
      <c r="R471" s="115"/>
      <c r="S471" s="115"/>
      <c r="T471" s="314"/>
      <c r="U471" s="115"/>
      <c r="V471" s="115"/>
      <c r="W471" s="45"/>
      <c r="X471" s="63"/>
      <c r="Y471" s="45"/>
      <c r="Z471" s="63"/>
      <c r="AA471" s="45"/>
      <c r="AB471" s="120"/>
      <c r="AC471" s="120"/>
      <c r="AD471" s="235"/>
      <c r="AE471" s="235"/>
      <c r="AF471" s="235"/>
      <c r="AG471" s="235"/>
      <c r="AH471" s="235"/>
      <c r="AI471" s="235"/>
      <c r="AJ471" s="45"/>
      <c r="AK471" s="265"/>
      <c r="AL471" s="45"/>
      <c r="AM471" s="390"/>
      <c r="AN471" s="390"/>
      <c r="AO471" s="63"/>
      <c r="AP471" s="63"/>
      <c r="AQ471" s="309"/>
      <c r="AR471" s="104"/>
      <c r="AS471" s="116"/>
    </row>
    <row r="472" spans="2:45" s="50" customFormat="1" ht="36.950000000000003" customHeight="1">
      <c r="B472" s="36"/>
      <c r="C472" s="340" t="s">
        <v>957</v>
      </c>
      <c r="D472" s="247">
        <f t="shared" ref="D472:J472" si="1153">D473+D474+D475</f>
        <v>1</v>
      </c>
      <c r="E472" s="43">
        <f t="shared" si="1153"/>
        <v>1</v>
      </c>
      <c r="F472" s="43">
        <f t="shared" si="1153"/>
        <v>10000</v>
      </c>
      <c r="G472" s="43">
        <f t="shared" si="1153"/>
        <v>0</v>
      </c>
      <c r="H472" s="43">
        <f t="shared" si="1153"/>
        <v>0</v>
      </c>
      <c r="I472" s="43">
        <f t="shared" si="1153"/>
        <v>0</v>
      </c>
      <c r="J472" s="43">
        <f t="shared" si="1153"/>
        <v>0</v>
      </c>
      <c r="K472" s="43">
        <f t="shared" ref="K472:M472" si="1154">K474+K475</f>
        <v>0</v>
      </c>
      <c r="L472" s="43">
        <f t="shared" si="1154"/>
        <v>0</v>
      </c>
      <c r="M472" s="43">
        <f t="shared" si="1154"/>
        <v>0</v>
      </c>
      <c r="N472" s="39"/>
      <c r="O472" s="39"/>
      <c r="P472" s="39"/>
      <c r="Q472" s="39"/>
      <c r="R472" s="39"/>
      <c r="S472" s="39"/>
      <c r="T472" s="39"/>
      <c r="U472" s="39"/>
      <c r="V472" s="39"/>
      <c r="W472" s="43">
        <f>W473+W474+W475</f>
        <v>14433</v>
      </c>
      <c r="X472" s="43">
        <f t="shared" ref="X472:AJ472" si="1155">X473+X474+X475</f>
        <v>0</v>
      </c>
      <c r="Y472" s="43">
        <f t="shared" si="1155"/>
        <v>14433</v>
      </c>
      <c r="Z472" s="43">
        <f t="shared" si="1155"/>
        <v>0</v>
      </c>
      <c r="AA472" s="43">
        <f t="shared" si="1155"/>
        <v>14000</v>
      </c>
      <c r="AB472" s="235">
        <f t="shared" si="1155"/>
        <v>0</v>
      </c>
      <c r="AC472" s="235">
        <f t="shared" si="1155"/>
        <v>0</v>
      </c>
      <c r="AD472" s="235">
        <f t="shared" si="1155"/>
        <v>0</v>
      </c>
      <c r="AE472" s="235">
        <f t="shared" si="1155"/>
        <v>0</v>
      </c>
      <c r="AF472" s="235">
        <f t="shared" si="1155"/>
        <v>0</v>
      </c>
      <c r="AG472" s="235">
        <f t="shared" si="1155"/>
        <v>0</v>
      </c>
      <c r="AH472" s="235">
        <f t="shared" si="1155"/>
        <v>0</v>
      </c>
      <c r="AI472" s="235">
        <f t="shared" si="1155"/>
        <v>0</v>
      </c>
      <c r="AJ472" s="43">
        <f t="shared" si="1155"/>
        <v>0</v>
      </c>
      <c r="AK472" s="235">
        <f t="shared" ref="AK472:AP472" si="1156">AK473+AK474+AK475</f>
        <v>14000</v>
      </c>
      <c r="AL472" s="43">
        <f t="shared" si="1156"/>
        <v>10000</v>
      </c>
      <c r="AM472" s="43">
        <f t="shared" si="1156"/>
        <v>10000</v>
      </c>
      <c r="AN472" s="43">
        <f t="shared" si="1156"/>
        <v>0</v>
      </c>
      <c r="AO472" s="43">
        <f t="shared" si="1156"/>
        <v>0</v>
      </c>
      <c r="AP472" s="43">
        <f t="shared" si="1156"/>
        <v>0</v>
      </c>
      <c r="AQ472" s="47"/>
      <c r="AR472" s="48">
        <f>AA472-(AF472+AI472+AL472)</f>
        <v>4000</v>
      </c>
      <c r="AS472" s="49" t="e">
        <f>#REF!-AL472</f>
        <v>#REF!</v>
      </c>
    </row>
    <row r="473" spans="2:45" s="50" customFormat="1" ht="55.5" customHeight="1">
      <c r="B473" s="237">
        <v>1</v>
      </c>
      <c r="C473" s="345" t="s">
        <v>990</v>
      </c>
      <c r="D473" s="93">
        <v>1</v>
      </c>
      <c r="E473" s="47">
        <v>1</v>
      </c>
      <c r="F473" s="47">
        <f>E473*AL473</f>
        <v>10000</v>
      </c>
      <c r="G473" s="47"/>
      <c r="H473" s="47"/>
      <c r="I473" s="47"/>
      <c r="J473" s="47"/>
      <c r="K473" s="47"/>
      <c r="L473" s="47"/>
      <c r="M473" s="88"/>
      <c r="N473" s="39" t="s">
        <v>431</v>
      </c>
      <c r="O473" s="39" t="s">
        <v>432</v>
      </c>
      <c r="P473" s="39" t="s">
        <v>422</v>
      </c>
      <c r="Q473" s="39">
        <v>7860110</v>
      </c>
      <c r="R473" s="39"/>
      <c r="S473" s="39"/>
      <c r="T473" s="39" t="s">
        <v>115</v>
      </c>
      <c r="U473" s="157"/>
      <c r="V473" s="97" t="s">
        <v>991</v>
      </c>
      <c r="W473" s="158">
        <v>14433</v>
      </c>
      <c r="X473" s="313"/>
      <c r="Y473" s="158">
        <v>14433</v>
      </c>
      <c r="Z473" s="235"/>
      <c r="AA473" s="42">
        <v>14000</v>
      </c>
      <c r="AB473" s="218"/>
      <c r="AC473" s="218"/>
      <c r="AD473" s="235"/>
      <c r="AE473" s="235"/>
      <c r="AF473" s="235"/>
      <c r="AG473" s="235"/>
      <c r="AH473" s="235"/>
      <c r="AI473" s="235"/>
      <c r="AJ473" s="47"/>
      <c r="AK473" s="218">
        <v>14000</v>
      </c>
      <c r="AL473" s="47">
        <f t="shared" ref="AL473" si="1157">AM473+AN473+AO473</f>
        <v>10000</v>
      </c>
      <c r="AM473" s="42">
        <v>10000</v>
      </c>
      <c r="AN473" s="42"/>
      <c r="AO473" s="43"/>
      <c r="AP473" s="43"/>
      <c r="AQ473" s="47"/>
      <c r="AR473" s="48"/>
      <c r="AS473" s="49"/>
    </row>
    <row r="474" spans="2:45" s="1" customFormat="1" ht="99" hidden="1" customHeight="1">
      <c r="B474" s="402"/>
      <c r="C474" s="396"/>
      <c r="D474" s="309"/>
      <c r="E474" s="45"/>
      <c r="F474" s="45"/>
      <c r="G474" s="45"/>
      <c r="H474" s="45"/>
      <c r="I474" s="45"/>
      <c r="J474" s="45"/>
      <c r="K474" s="45"/>
      <c r="L474" s="45"/>
      <c r="M474" s="389"/>
      <c r="N474" s="115"/>
      <c r="O474" s="115"/>
      <c r="P474" s="115"/>
      <c r="Q474" s="115"/>
      <c r="R474" s="115"/>
      <c r="S474" s="115"/>
      <c r="T474" s="115"/>
      <c r="U474" s="385"/>
      <c r="V474" s="385"/>
      <c r="W474" s="393"/>
      <c r="X474" s="393"/>
      <c r="Y474" s="393"/>
      <c r="Z474" s="63"/>
      <c r="AA474" s="397"/>
      <c r="AB474" s="218"/>
      <c r="AC474" s="218"/>
      <c r="AD474" s="235"/>
      <c r="AE474" s="235"/>
      <c r="AF474" s="235"/>
      <c r="AG474" s="235"/>
      <c r="AH474" s="235"/>
      <c r="AI474" s="235"/>
      <c r="AJ474" s="45"/>
      <c r="AK474" s="250"/>
      <c r="AL474" s="45"/>
      <c r="AM474" s="393"/>
      <c r="AN474" s="393"/>
      <c r="AO474" s="63"/>
      <c r="AP474" s="63"/>
      <c r="AQ474" s="309"/>
      <c r="AR474" s="104"/>
      <c r="AS474" s="116"/>
    </row>
    <row r="475" spans="2:45" s="1" customFormat="1" ht="92.1" hidden="1" customHeight="1">
      <c r="B475" s="402"/>
      <c r="C475" s="396"/>
      <c r="D475" s="309"/>
      <c r="E475" s="45"/>
      <c r="F475" s="45"/>
      <c r="G475" s="45"/>
      <c r="H475" s="45"/>
      <c r="I475" s="45"/>
      <c r="J475" s="45"/>
      <c r="K475" s="45"/>
      <c r="L475" s="45"/>
      <c r="M475" s="389"/>
      <c r="N475" s="115"/>
      <c r="O475" s="115"/>
      <c r="P475" s="115"/>
      <c r="Q475" s="115"/>
      <c r="R475" s="115"/>
      <c r="S475" s="115"/>
      <c r="T475" s="115"/>
      <c r="U475" s="398"/>
      <c r="V475" s="385"/>
      <c r="W475" s="399"/>
      <c r="X475" s="399"/>
      <c r="Y475" s="397"/>
      <c r="Z475" s="63"/>
      <c r="AA475" s="397"/>
      <c r="AB475" s="218"/>
      <c r="AC475" s="218"/>
      <c r="AD475" s="235"/>
      <c r="AE475" s="235"/>
      <c r="AF475" s="235"/>
      <c r="AG475" s="235"/>
      <c r="AH475" s="235"/>
      <c r="AI475" s="235"/>
      <c r="AJ475" s="45"/>
      <c r="AK475" s="218"/>
      <c r="AL475" s="45"/>
      <c r="AM475" s="397"/>
      <c r="AN475" s="397"/>
      <c r="AO475" s="63"/>
      <c r="AP475" s="63"/>
      <c r="AQ475" s="309"/>
      <c r="AR475" s="104"/>
      <c r="AS475" s="116"/>
    </row>
    <row r="476" spans="2:45" s="133" customFormat="1" ht="20.100000000000001" customHeight="1">
      <c r="B476" s="129" t="s">
        <v>265</v>
      </c>
      <c r="C476" s="348" t="s">
        <v>107</v>
      </c>
      <c r="D476" s="439">
        <f t="shared" ref="D476:J476" si="1158">D477+D479+D481+D483+D485</f>
        <v>4</v>
      </c>
      <c r="E476" s="69">
        <f t="shared" si="1158"/>
        <v>4</v>
      </c>
      <c r="F476" s="69">
        <f t="shared" si="1158"/>
        <v>140000</v>
      </c>
      <c r="G476" s="69">
        <f t="shared" si="1158"/>
        <v>0</v>
      </c>
      <c r="H476" s="69">
        <f t="shared" si="1158"/>
        <v>0</v>
      </c>
      <c r="I476" s="69">
        <f t="shared" si="1158"/>
        <v>0</v>
      </c>
      <c r="J476" s="69">
        <f t="shared" si="1158"/>
        <v>0</v>
      </c>
      <c r="K476" s="69">
        <f t="shared" ref="K476:M476" si="1159">K477+K479+K481+K483+K485</f>
        <v>1</v>
      </c>
      <c r="L476" s="69">
        <f t="shared" si="1159"/>
        <v>3</v>
      </c>
      <c r="M476" s="69">
        <f t="shared" si="1159"/>
        <v>0</v>
      </c>
      <c r="N476" s="69"/>
      <c r="O476" s="122"/>
      <c r="P476" s="122"/>
      <c r="Q476" s="122"/>
      <c r="R476" s="122"/>
      <c r="S476" s="122"/>
      <c r="T476" s="122"/>
      <c r="U476" s="122"/>
      <c r="V476" s="122"/>
      <c r="W476" s="69">
        <f>W477+W479+W481+W483+W485</f>
        <v>878763</v>
      </c>
      <c r="X476" s="236">
        <f t="shared" ref="X476:AP476" si="1160">X477+X479+X481+X483+X485</f>
        <v>0</v>
      </c>
      <c r="Y476" s="69">
        <f t="shared" si="1160"/>
        <v>878763</v>
      </c>
      <c r="Z476" s="236">
        <f t="shared" si="1160"/>
        <v>0</v>
      </c>
      <c r="AA476" s="69">
        <f t="shared" si="1160"/>
        <v>323000</v>
      </c>
      <c r="AB476" s="236">
        <f t="shared" si="1160"/>
        <v>263000</v>
      </c>
      <c r="AC476" s="236">
        <f t="shared" si="1160"/>
        <v>60000</v>
      </c>
      <c r="AD476" s="236">
        <f t="shared" si="1160"/>
        <v>0</v>
      </c>
      <c r="AE476" s="236">
        <f t="shared" si="1160"/>
        <v>0</v>
      </c>
      <c r="AF476" s="236">
        <f t="shared" si="1160"/>
        <v>0</v>
      </c>
      <c r="AG476" s="236">
        <f t="shared" si="1160"/>
        <v>20000</v>
      </c>
      <c r="AH476" s="236">
        <f t="shared" si="1160"/>
        <v>0</v>
      </c>
      <c r="AI476" s="236">
        <f t="shared" si="1160"/>
        <v>0</v>
      </c>
      <c r="AJ476" s="69">
        <f t="shared" si="1160"/>
        <v>0</v>
      </c>
      <c r="AK476" s="236">
        <f t="shared" si="1160"/>
        <v>225000</v>
      </c>
      <c r="AL476" s="69">
        <f t="shared" si="1160"/>
        <v>140000</v>
      </c>
      <c r="AM476" s="69">
        <f t="shared" si="1160"/>
        <v>80000</v>
      </c>
      <c r="AN476" s="69">
        <f t="shared" si="1160"/>
        <v>60000</v>
      </c>
      <c r="AO476" s="69">
        <f t="shared" si="1160"/>
        <v>0</v>
      </c>
      <c r="AP476" s="69">
        <f t="shared" si="1160"/>
        <v>0</v>
      </c>
      <c r="AQ476" s="130"/>
      <c r="AR476" s="131">
        <f t="shared" ref="AR476:AR484" si="1161">AA476-(AF476+AI476+AL476)</f>
        <v>183000</v>
      </c>
      <c r="AS476" s="132" t="e">
        <f>#REF!-AL476</f>
        <v>#REF!</v>
      </c>
    </row>
    <row r="477" spans="2:45" s="50" customFormat="1" ht="36.950000000000003" customHeight="1">
      <c r="B477" s="36"/>
      <c r="C477" s="340" t="s">
        <v>960</v>
      </c>
      <c r="D477" s="247">
        <f t="shared" ref="D477:M477" si="1162">D478</f>
        <v>1</v>
      </c>
      <c r="E477" s="43">
        <f t="shared" si="1162"/>
        <v>1</v>
      </c>
      <c r="F477" s="43">
        <f t="shared" si="1162"/>
        <v>30000</v>
      </c>
      <c r="G477" s="43">
        <f t="shared" si="1162"/>
        <v>0</v>
      </c>
      <c r="H477" s="43">
        <f t="shared" si="1162"/>
        <v>0</v>
      </c>
      <c r="I477" s="43">
        <f t="shared" si="1162"/>
        <v>0</v>
      </c>
      <c r="J477" s="43">
        <f t="shared" si="1162"/>
        <v>0</v>
      </c>
      <c r="K477" s="43">
        <f t="shared" si="1162"/>
        <v>0</v>
      </c>
      <c r="L477" s="43">
        <f t="shared" si="1162"/>
        <v>1</v>
      </c>
      <c r="M477" s="43">
        <f t="shared" si="1162"/>
        <v>0</v>
      </c>
      <c r="N477" s="39"/>
      <c r="O477" s="39"/>
      <c r="P477" s="39"/>
      <c r="Q477" s="39"/>
      <c r="R477" s="39"/>
      <c r="S477" s="39"/>
      <c r="T477" s="39"/>
      <c r="U477" s="39"/>
      <c r="V477" s="39"/>
      <c r="W477" s="43">
        <f t="shared" ref="W477" si="1163">W478</f>
        <v>230022</v>
      </c>
      <c r="X477" s="235">
        <f t="shared" ref="X477" si="1164">X478</f>
        <v>0</v>
      </c>
      <c r="Y477" s="43">
        <f t="shared" ref="Y477" si="1165">Y478</f>
        <v>230022</v>
      </c>
      <c r="Z477" s="235">
        <f t="shared" ref="Z477" si="1166">Z478</f>
        <v>0</v>
      </c>
      <c r="AA477" s="43">
        <f t="shared" ref="AA477:AJ477" si="1167">AA478</f>
        <v>100000</v>
      </c>
      <c r="AB477" s="235">
        <f t="shared" si="1167"/>
        <v>100000</v>
      </c>
      <c r="AC477" s="235">
        <f t="shared" si="1167"/>
        <v>0</v>
      </c>
      <c r="AD477" s="235">
        <f t="shared" si="1167"/>
        <v>0</v>
      </c>
      <c r="AE477" s="235">
        <f t="shared" si="1167"/>
        <v>0</v>
      </c>
      <c r="AF477" s="235">
        <f t="shared" si="1167"/>
        <v>0</v>
      </c>
      <c r="AG477" s="235">
        <f t="shared" si="1167"/>
        <v>0</v>
      </c>
      <c r="AH477" s="235">
        <f t="shared" si="1167"/>
        <v>0</v>
      </c>
      <c r="AI477" s="235">
        <f t="shared" si="1167"/>
        <v>0</v>
      </c>
      <c r="AJ477" s="43">
        <f t="shared" si="1167"/>
        <v>0</v>
      </c>
      <c r="AK477" s="235">
        <f t="shared" ref="AK477" si="1168">AK478</f>
        <v>40000</v>
      </c>
      <c r="AL477" s="43">
        <f t="shared" ref="AL477" si="1169">AL478</f>
        <v>30000</v>
      </c>
      <c r="AM477" s="43">
        <f t="shared" ref="AM477:AP477" si="1170">AM478</f>
        <v>30000</v>
      </c>
      <c r="AN477" s="43">
        <f t="shared" si="1170"/>
        <v>0</v>
      </c>
      <c r="AO477" s="43">
        <f t="shared" si="1170"/>
        <v>0</v>
      </c>
      <c r="AP477" s="43">
        <f t="shared" si="1170"/>
        <v>0</v>
      </c>
      <c r="AQ477" s="47"/>
      <c r="AR477" s="48">
        <f t="shared" si="1161"/>
        <v>70000</v>
      </c>
      <c r="AS477" s="49" t="e">
        <f>#REF!-AL477</f>
        <v>#REF!</v>
      </c>
    </row>
    <row r="478" spans="2:45" s="50" customFormat="1" ht="61.5" customHeight="1">
      <c r="B478" s="237">
        <v>1</v>
      </c>
      <c r="C478" s="345" t="s">
        <v>808</v>
      </c>
      <c r="D478" s="93">
        <v>1</v>
      </c>
      <c r="E478" s="47">
        <v>1</v>
      </c>
      <c r="F478" s="47">
        <f>E478*AL478</f>
        <v>30000</v>
      </c>
      <c r="G478" s="47"/>
      <c r="H478" s="47"/>
      <c r="I478" s="47"/>
      <c r="J478" s="47"/>
      <c r="K478" s="47"/>
      <c r="L478" s="47">
        <v>1</v>
      </c>
      <c r="M478" s="88"/>
      <c r="N478" s="39" t="s">
        <v>213</v>
      </c>
      <c r="O478" s="39" t="s">
        <v>252</v>
      </c>
      <c r="P478" s="39" t="s">
        <v>253</v>
      </c>
      <c r="Q478" s="39">
        <v>7935427</v>
      </c>
      <c r="R478" s="39"/>
      <c r="S478" s="90" t="s">
        <v>987</v>
      </c>
      <c r="T478" s="90" t="s">
        <v>113</v>
      </c>
      <c r="U478" s="159" t="s">
        <v>266</v>
      </c>
      <c r="V478" s="159" t="s">
        <v>563</v>
      </c>
      <c r="W478" s="42">
        <v>230022</v>
      </c>
      <c r="X478" s="218"/>
      <c r="Y478" s="42">
        <v>230022</v>
      </c>
      <c r="Z478" s="235"/>
      <c r="AA478" s="42">
        <v>100000</v>
      </c>
      <c r="AB478" s="218">
        <v>100000</v>
      </c>
      <c r="AC478" s="218"/>
      <c r="AD478" s="235"/>
      <c r="AE478" s="235"/>
      <c r="AF478" s="235"/>
      <c r="AG478" s="235"/>
      <c r="AH478" s="235"/>
      <c r="AI478" s="235"/>
      <c r="AJ478" s="47">
        <f>AF478+AI478</f>
        <v>0</v>
      </c>
      <c r="AK478" s="218">
        <v>40000</v>
      </c>
      <c r="AL478" s="47">
        <f t="shared" ref="AL478" si="1171">AM478+AN478+AO478</f>
        <v>30000</v>
      </c>
      <c r="AM478" s="47">
        <v>30000</v>
      </c>
      <c r="AN478" s="42"/>
      <c r="AO478" s="43"/>
      <c r="AP478" s="43"/>
      <c r="AQ478" s="47"/>
      <c r="AR478" s="48">
        <f t="shared" si="1161"/>
        <v>70000</v>
      </c>
      <c r="AS478" s="49" t="e">
        <f>#REF!-AL478</f>
        <v>#REF!</v>
      </c>
    </row>
    <row r="479" spans="2:45" s="50" customFormat="1" ht="35.450000000000003" customHeight="1">
      <c r="B479" s="36"/>
      <c r="C479" s="340" t="s">
        <v>956</v>
      </c>
      <c r="D479" s="247">
        <f t="shared" ref="D479:J479" si="1172">D480</f>
        <v>1</v>
      </c>
      <c r="E479" s="43">
        <f t="shared" si="1172"/>
        <v>1</v>
      </c>
      <c r="F479" s="43">
        <f t="shared" si="1172"/>
        <v>20000</v>
      </c>
      <c r="G479" s="43">
        <f t="shared" si="1172"/>
        <v>0</v>
      </c>
      <c r="H479" s="43">
        <f t="shared" si="1172"/>
        <v>0</v>
      </c>
      <c r="I479" s="43">
        <f t="shared" si="1172"/>
        <v>0</v>
      </c>
      <c r="J479" s="43">
        <f t="shared" si="1172"/>
        <v>0</v>
      </c>
      <c r="K479" s="43">
        <f t="shared" ref="K479" si="1173">K480</f>
        <v>0</v>
      </c>
      <c r="L479" s="43">
        <f t="shared" ref="L479" si="1174">L480</f>
        <v>1</v>
      </c>
      <c r="M479" s="246">
        <f t="shared" ref="M479" si="1175">M480</f>
        <v>0</v>
      </c>
      <c r="N479" s="39"/>
      <c r="O479" s="39"/>
      <c r="P479" s="39"/>
      <c r="Q479" s="39"/>
      <c r="R479" s="39"/>
      <c r="S479" s="39"/>
      <c r="T479" s="39"/>
      <c r="U479" s="39"/>
      <c r="V479" s="39"/>
      <c r="W479" s="43">
        <f t="shared" ref="W479" si="1176">W480</f>
        <v>173466</v>
      </c>
      <c r="X479" s="235">
        <f t="shared" ref="X479" si="1177">X480</f>
        <v>0</v>
      </c>
      <c r="Y479" s="43">
        <f t="shared" ref="Y479" si="1178">Y480</f>
        <v>173466</v>
      </c>
      <c r="Z479" s="235">
        <f t="shared" ref="Z479" si="1179">Z480</f>
        <v>0</v>
      </c>
      <c r="AA479" s="43">
        <f t="shared" ref="AA479:AJ479" si="1180">AA480</f>
        <v>63000</v>
      </c>
      <c r="AB479" s="235">
        <f t="shared" si="1180"/>
        <v>63000</v>
      </c>
      <c r="AC479" s="235">
        <f t="shared" si="1180"/>
        <v>0</v>
      </c>
      <c r="AD479" s="235">
        <f t="shared" si="1180"/>
        <v>0</v>
      </c>
      <c r="AE479" s="235">
        <f t="shared" si="1180"/>
        <v>0</v>
      </c>
      <c r="AF479" s="235">
        <f t="shared" si="1180"/>
        <v>0</v>
      </c>
      <c r="AG479" s="235">
        <f t="shared" si="1180"/>
        <v>0</v>
      </c>
      <c r="AH479" s="235">
        <f t="shared" si="1180"/>
        <v>0</v>
      </c>
      <c r="AI479" s="235">
        <f t="shared" si="1180"/>
        <v>0</v>
      </c>
      <c r="AJ479" s="43">
        <f t="shared" si="1180"/>
        <v>0</v>
      </c>
      <c r="AK479" s="235">
        <f t="shared" ref="AK479" si="1181">AK480</f>
        <v>25000</v>
      </c>
      <c r="AL479" s="43">
        <f t="shared" ref="AL479" si="1182">AL480</f>
        <v>20000</v>
      </c>
      <c r="AM479" s="43">
        <f t="shared" ref="AM479:AP479" si="1183">AM480</f>
        <v>20000</v>
      </c>
      <c r="AN479" s="43">
        <f t="shared" si="1183"/>
        <v>0</v>
      </c>
      <c r="AO479" s="43">
        <f t="shared" si="1183"/>
        <v>0</v>
      </c>
      <c r="AP479" s="43">
        <f t="shared" si="1183"/>
        <v>0</v>
      </c>
      <c r="AQ479" s="47"/>
      <c r="AR479" s="48">
        <f t="shared" si="1161"/>
        <v>43000</v>
      </c>
      <c r="AS479" s="49" t="e">
        <f>#REF!-AL479</f>
        <v>#REF!</v>
      </c>
    </row>
    <row r="480" spans="2:45" s="50" customFormat="1" ht="53.45" customHeight="1">
      <c r="B480" s="237">
        <v>1</v>
      </c>
      <c r="C480" s="102" t="s">
        <v>810</v>
      </c>
      <c r="D480" s="93">
        <v>1</v>
      </c>
      <c r="E480" s="47">
        <v>1</v>
      </c>
      <c r="F480" s="47">
        <f>E480*AL480</f>
        <v>20000</v>
      </c>
      <c r="G480" s="47"/>
      <c r="H480" s="47"/>
      <c r="I480" s="47"/>
      <c r="J480" s="47"/>
      <c r="K480" s="47"/>
      <c r="L480" s="47">
        <v>1</v>
      </c>
      <c r="M480" s="88"/>
      <c r="N480" s="39" t="s">
        <v>276</v>
      </c>
      <c r="O480" s="39" t="s">
        <v>294</v>
      </c>
      <c r="P480" s="39" t="s">
        <v>274</v>
      </c>
      <c r="Q480" s="39">
        <v>7891599</v>
      </c>
      <c r="R480" s="39"/>
      <c r="S480" s="39" t="s">
        <v>989</v>
      </c>
      <c r="T480" s="90" t="s">
        <v>133</v>
      </c>
      <c r="U480" s="39" t="s">
        <v>569</v>
      </c>
      <c r="V480" s="39" t="s">
        <v>809</v>
      </c>
      <c r="W480" s="62">
        <v>173466</v>
      </c>
      <c r="X480" s="235"/>
      <c r="Y480" s="62">
        <v>173466</v>
      </c>
      <c r="Z480" s="235"/>
      <c r="AA480" s="47">
        <v>63000</v>
      </c>
      <c r="AB480" s="120">
        <v>63000</v>
      </c>
      <c r="AC480" s="120"/>
      <c r="AD480" s="235"/>
      <c r="AE480" s="235"/>
      <c r="AF480" s="235"/>
      <c r="AG480" s="235"/>
      <c r="AH480" s="235"/>
      <c r="AI480" s="235"/>
      <c r="AJ480" s="47">
        <f>AF480+AI480</f>
        <v>0</v>
      </c>
      <c r="AK480" s="265">
        <v>25000</v>
      </c>
      <c r="AL480" s="47">
        <f t="shared" ref="AL480" si="1184">AM480+AN480+AO480</f>
        <v>20000</v>
      </c>
      <c r="AM480" s="62">
        <v>20000</v>
      </c>
      <c r="AN480" s="62"/>
      <c r="AO480" s="43"/>
      <c r="AP480" s="43"/>
      <c r="AQ480" s="47"/>
      <c r="AR480" s="48">
        <f t="shared" si="1161"/>
        <v>43000</v>
      </c>
      <c r="AS480" s="49" t="e">
        <f>#REF!-AL480</f>
        <v>#REF!</v>
      </c>
    </row>
    <row r="481" spans="1:45" s="50" customFormat="1" ht="36.6" customHeight="1">
      <c r="B481" s="36"/>
      <c r="C481" s="340" t="s">
        <v>953</v>
      </c>
      <c r="D481" s="247">
        <f>D482</f>
        <v>1</v>
      </c>
      <c r="E481" s="43">
        <f t="shared" ref="E481:J481" si="1185">E482</f>
        <v>1</v>
      </c>
      <c r="F481" s="43">
        <f t="shared" si="1185"/>
        <v>30000</v>
      </c>
      <c r="G481" s="43">
        <f t="shared" si="1185"/>
        <v>0</v>
      </c>
      <c r="H481" s="43">
        <f t="shared" si="1185"/>
        <v>0</v>
      </c>
      <c r="I481" s="43">
        <f t="shared" si="1185"/>
        <v>0</v>
      </c>
      <c r="J481" s="43">
        <f t="shared" si="1185"/>
        <v>0</v>
      </c>
      <c r="K481" s="43">
        <f t="shared" ref="K481" si="1186">K482</f>
        <v>0</v>
      </c>
      <c r="L481" s="43">
        <f t="shared" ref="L481" si="1187">L482</f>
        <v>1</v>
      </c>
      <c r="M481" s="246">
        <f t="shared" ref="M481" si="1188">M482</f>
        <v>0</v>
      </c>
      <c r="N481" s="39"/>
      <c r="O481" s="39"/>
      <c r="P481" s="39"/>
      <c r="Q481" s="39"/>
      <c r="R481" s="39"/>
      <c r="S481" s="39"/>
      <c r="T481" s="39"/>
      <c r="U481" s="39"/>
      <c r="V481" s="39"/>
      <c r="W481" s="43">
        <f t="shared" ref="W481" si="1189">W482</f>
        <v>138232</v>
      </c>
      <c r="X481" s="235">
        <f t="shared" ref="X481" si="1190">X482</f>
        <v>0</v>
      </c>
      <c r="Y481" s="43">
        <f t="shared" ref="Y481" si="1191">Y482</f>
        <v>138232</v>
      </c>
      <c r="Z481" s="235">
        <f t="shared" ref="Z481" si="1192">Z482</f>
        <v>0</v>
      </c>
      <c r="AA481" s="43">
        <f t="shared" ref="AA481:AJ481" si="1193">AA482</f>
        <v>100000</v>
      </c>
      <c r="AB481" s="235">
        <f t="shared" si="1193"/>
        <v>100000</v>
      </c>
      <c r="AC481" s="235">
        <f t="shared" si="1193"/>
        <v>0</v>
      </c>
      <c r="AD481" s="235">
        <f t="shared" si="1193"/>
        <v>0</v>
      </c>
      <c r="AE481" s="235">
        <f t="shared" si="1193"/>
        <v>0</v>
      </c>
      <c r="AF481" s="235">
        <f t="shared" si="1193"/>
        <v>0</v>
      </c>
      <c r="AG481" s="235">
        <f t="shared" si="1193"/>
        <v>0</v>
      </c>
      <c r="AH481" s="235">
        <f t="shared" si="1193"/>
        <v>0</v>
      </c>
      <c r="AI481" s="235">
        <f t="shared" si="1193"/>
        <v>0</v>
      </c>
      <c r="AJ481" s="43">
        <f t="shared" si="1193"/>
        <v>0</v>
      </c>
      <c r="AK481" s="235">
        <f t="shared" ref="AK481" si="1194">AK482</f>
        <v>100000</v>
      </c>
      <c r="AL481" s="43">
        <f t="shared" ref="AL481" si="1195">AL482</f>
        <v>30000</v>
      </c>
      <c r="AM481" s="43">
        <f t="shared" ref="AM481:AP481" si="1196">AM482</f>
        <v>30000</v>
      </c>
      <c r="AN481" s="43">
        <f t="shared" si="1196"/>
        <v>0</v>
      </c>
      <c r="AO481" s="43">
        <f t="shared" si="1196"/>
        <v>0</v>
      </c>
      <c r="AP481" s="43">
        <f t="shared" si="1196"/>
        <v>0</v>
      </c>
      <c r="AQ481" s="47"/>
      <c r="AR481" s="48">
        <f t="shared" si="1161"/>
        <v>70000</v>
      </c>
      <c r="AS481" s="49" t="e">
        <f>#REF!-AL481</f>
        <v>#REF!</v>
      </c>
    </row>
    <row r="482" spans="1:45" s="50" customFormat="1" ht="80.099999999999994" customHeight="1">
      <c r="B482" s="237">
        <v>1</v>
      </c>
      <c r="C482" s="345" t="s">
        <v>988</v>
      </c>
      <c r="D482" s="93">
        <v>1</v>
      </c>
      <c r="E482" s="47">
        <v>1</v>
      </c>
      <c r="F482" s="47">
        <f>E482*AL482</f>
        <v>30000</v>
      </c>
      <c r="G482" s="47"/>
      <c r="H482" s="47"/>
      <c r="I482" s="47"/>
      <c r="J482" s="47"/>
      <c r="K482" s="47"/>
      <c r="L482" s="47">
        <v>1</v>
      </c>
      <c r="M482" s="88"/>
      <c r="N482" s="39" t="s">
        <v>222</v>
      </c>
      <c r="O482" s="39" t="s">
        <v>302</v>
      </c>
      <c r="P482" s="39" t="s">
        <v>303</v>
      </c>
      <c r="Q482" s="39">
        <v>7875885</v>
      </c>
      <c r="R482" s="39"/>
      <c r="S482" s="90" t="s">
        <v>357</v>
      </c>
      <c r="T482" s="90" t="s">
        <v>115</v>
      </c>
      <c r="U482" s="90" t="s">
        <v>358</v>
      </c>
      <c r="V482" s="90" t="s">
        <v>812</v>
      </c>
      <c r="W482" s="160">
        <v>138232</v>
      </c>
      <c r="X482" s="235"/>
      <c r="Y482" s="160">
        <v>138232</v>
      </c>
      <c r="Z482" s="235"/>
      <c r="AA482" s="47">
        <v>100000</v>
      </c>
      <c r="AB482" s="120">
        <v>100000</v>
      </c>
      <c r="AC482" s="120"/>
      <c r="AD482" s="235"/>
      <c r="AE482" s="235"/>
      <c r="AF482" s="235"/>
      <c r="AG482" s="235"/>
      <c r="AH482" s="235"/>
      <c r="AI482" s="235"/>
      <c r="AJ482" s="47">
        <f>AF482+AI482</f>
        <v>0</v>
      </c>
      <c r="AK482" s="120">
        <v>100000</v>
      </c>
      <c r="AL482" s="47">
        <f t="shared" ref="AL482" si="1197">AM482+AN482+AO482</f>
        <v>30000</v>
      </c>
      <c r="AM482" s="47">
        <v>30000</v>
      </c>
      <c r="AN482" s="47"/>
      <c r="AO482" s="43"/>
      <c r="AP482" s="43"/>
      <c r="AQ482" s="47"/>
      <c r="AR482" s="48">
        <f t="shared" si="1161"/>
        <v>70000</v>
      </c>
      <c r="AS482" s="49" t="e">
        <f>#REF!-AL482</f>
        <v>#REF!</v>
      </c>
    </row>
    <row r="483" spans="1:45" s="50" customFormat="1" ht="36.950000000000003" customHeight="1">
      <c r="B483" s="36"/>
      <c r="C483" s="340" t="s">
        <v>980</v>
      </c>
      <c r="D483" s="247">
        <f t="shared" ref="D483:M483" si="1198">D484</f>
        <v>1</v>
      </c>
      <c r="E483" s="43">
        <f t="shared" si="1198"/>
        <v>1</v>
      </c>
      <c r="F483" s="43">
        <f t="shared" si="1198"/>
        <v>60000</v>
      </c>
      <c r="G483" s="43">
        <f t="shared" si="1198"/>
        <v>0</v>
      </c>
      <c r="H483" s="43">
        <f t="shared" si="1198"/>
        <v>0</v>
      </c>
      <c r="I483" s="43">
        <f t="shared" si="1198"/>
        <v>0</v>
      </c>
      <c r="J483" s="43">
        <f t="shared" si="1198"/>
        <v>0</v>
      </c>
      <c r="K483" s="43">
        <f t="shared" si="1198"/>
        <v>1</v>
      </c>
      <c r="L483" s="43">
        <f t="shared" si="1198"/>
        <v>0</v>
      </c>
      <c r="M483" s="43">
        <f t="shared" si="1198"/>
        <v>0</v>
      </c>
      <c r="N483" s="39"/>
      <c r="O483" s="39"/>
      <c r="P483" s="39"/>
      <c r="Q483" s="39"/>
      <c r="R483" s="39"/>
      <c r="S483" s="39"/>
      <c r="T483" s="39"/>
      <c r="U483" s="39"/>
      <c r="V483" s="39"/>
      <c r="W483" s="43">
        <f t="shared" ref="W483:AO483" si="1199">W484</f>
        <v>337043</v>
      </c>
      <c r="X483" s="235">
        <f t="shared" si="1199"/>
        <v>0</v>
      </c>
      <c r="Y483" s="43">
        <f t="shared" si="1199"/>
        <v>337043</v>
      </c>
      <c r="Z483" s="235">
        <f t="shared" si="1199"/>
        <v>0</v>
      </c>
      <c r="AA483" s="43">
        <f t="shared" si="1199"/>
        <v>60000</v>
      </c>
      <c r="AB483" s="235">
        <f t="shared" si="1199"/>
        <v>0</v>
      </c>
      <c r="AC483" s="235">
        <f t="shared" si="1199"/>
        <v>60000</v>
      </c>
      <c r="AD483" s="235">
        <f t="shared" si="1199"/>
        <v>0</v>
      </c>
      <c r="AE483" s="235">
        <f t="shared" si="1199"/>
        <v>0</v>
      </c>
      <c r="AF483" s="235">
        <f t="shared" si="1199"/>
        <v>0</v>
      </c>
      <c r="AG483" s="235">
        <f t="shared" si="1199"/>
        <v>20000</v>
      </c>
      <c r="AH483" s="235">
        <f t="shared" si="1199"/>
        <v>0</v>
      </c>
      <c r="AI483" s="235">
        <f t="shared" si="1199"/>
        <v>0</v>
      </c>
      <c r="AJ483" s="43">
        <f t="shared" si="1199"/>
        <v>0</v>
      </c>
      <c r="AK483" s="235">
        <f t="shared" si="1199"/>
        <v>60000</v>
      </c>
      <c r="AL483" s="43">
        <f t="shared" si="1199"/>
        <v>60000</v>
      </c>
      <c r="AM483" s="43">
        <f t="shared" si="1199"/>
        <v>0</v>
      </c>
      <c r="AN483" s="43">
        <f t="shared" si="1199"/>
        <v>60000</v>
      </c>
      <c r="AO483" s="43">
        <f t="shared" si="1199"/>
        <v>0</v>
      </c>
      <c r="AP483" s="43"/>
      <c r="AQ483" s="47"/>
      <c r="AR483" s="48">
        <f t="shared" si="1161"/>
        <v>0</v>
      </c>
      <c r="AS483" s="49" t="e">
        <f>#REF!-AL483</f>
        <v>#REF!</v>
      </c>
    </row>
    <row r="484" spans="1:45" s="50" customFormat="1" ht="81.599999999999994" customHeight="1">
      <c r="B484" s="237">
        <v>1</v>
      </c>
      <c r="C484" s="102" t="s">
        <v>811</v>
      </c>
      <c r="D484" s="38">
        <v>1</v>
      </c>
      <c r="E484" s="47">
        <v>1</v>
      </c>
      <c r="F484" s="47">
        <f>E484*AL484</f>
        <v>60000</v>
      </c>
      <c r="G484" s="68"/>
      <c r="H484" s="68"/>
      <c r="I484" s="47"/>
      <c r="J484" s="47"/>
      <c r="K484" s="47">
        <v>1</v>
      </c>
      <c r="L484" s="68"/>
      <c r="M484" s="88"/>
      <c r="N484" s="40" t="s">
        <v>467</v>
      </c>
      <c r="O484" s="39" t="s">
        <v>468</v>
      </c>
      <c r="P484" s="41" t="s">
        <v>469</v>
      </c>
      <c r="Q484" s="40">
        <v>7920990</v>
      </c>
      <c r="R484" s="40"/>
      <c r="S484" s="40" t="s">
        <v>986</v>
      </c>
      <c r="T484" s="41" t="s">
        <v>115</v>
      </c>
      <c r="U484" s="39"/>
      <c r="V484" s="90" t="s">
        <v>820</v>
      </c>
      <c r="W484" s="42">
        <v>337043</v>
      </c>
      <c r="X484" s="250"/>
      <c r="Y484" s="42">
        <v>337043</v>
      </c>
      <c r="Z484" s="235"/>
      <c r="AA484" s="42">
        <v>60000</v>
      </c>
      <c r="AB484" s="235"/>
      <c r="AC484" s="218">
        <v>60000</v>
      </c>
      <c r="AD484" s="235"/>
      <c r="AE484" s="235"/>
      <c r="AF484" s="235"/>
      <c r="AG484" s="218">
        <v>20000</v>
      </c>
      <c r="AH484" s="235"/>
      <c r="AI484" s="218"/>
      <c r="AJ484" s="47"/>
      <c r="AK484" s="218">
        <v>60000</v>
      </c>
      <c r="AL484" s="47">
        <f t="shared" ref="AL484" si="1200">AM484+AN484+AO484</f>
        <v>60000</v>
      </c>
      <c r="AM484" s="43"/>
      <c r="AN484" s="42">
        <v>60000</v>
      </c>
      <c r="AO484" s="43"/>
      <c r="AP484" s="43"/>
      <c r="AQ484" s="93"/>
      <c r="AR484" s="48">
        <f t="shared" si="1161"/>
        <v>0</v>
      </c>
      <c r="AS484" s="49" t="e">
        <f>#REF!-AL484</f>
        <v>#REF!</v>
      </c>
    </row>
    <row r="485" spans="1:45" s="1" customFormat="1" ht="36.950000000000003" hidden="1" customHeight="1">
      <c r="B485" s="114"/>
      <c r="C485" s="391"/>
      <c r="D485" s="455"/>
      <c r="E485" s="63"/>
      <c r="F485" s="63"/>
      <c r="G485" s="63"/>
      <c r="H485" s="63"/>
      <c r="I485" s="63"/>
      <c r="J485" s="63"/>
      <c r="K485" s="63"/>
      <c r="L485" s="63"/>
      <c r="M485" s="63"/>
      <c r="N485" s="115"/>
      <c r="O485" s="115"/>
      <c r="P485" s="115"/>
      <c r="Q485" s="115"/>
      <c r="R485" s="115"/>
      <c r="S485" s="115"/>
      <c r="T485" s="115"/>
      <c r="U485" s="115"/>
      <c r="V485" s="115"/>
      <c r="W485" s="63"/>
      <c r="X485" s="63"/>
      <c r="Y485" s="63"/>
      <c r="Z485" s="63"/>
      <c r="AA485" s="63"/>
      <c r="AB485" s="235"/>
      <c r="AC485" s="235"/>
      <c r="AD485" s="235"/>
      <c r="AE485" s="235"/>
      <c r="AF485" s="235"/>
      <c r="AG485" s="235"/>
      <c r="AH485" s="235"/>
      <c r="AI485" s="235"/>
      <c r="AJ485" s="63"/>
      <c r="AK485" s="235"/>
      <c r="AL485" s="63"/>
      <c r="AM485" s="63"/>
      <c r="AN485" s="63"/>
      <c r="AO485" s="63"/>
      <c r="AP485" s="63"/>
      <c r="AQ485" s="45"/>
      <c r="AR485" s="104"/>
      <c r="AS485" s="116"/>
    </row>
    <row r="486" spans="1:45" s="1" customFormat="1" ht="48" hidden="1" customHeight="1">
      <c r="B486" s="402"/>
      <c r="C486" s="392"/>
      <c r="D486" s="456"/>
      <c r="E486" s="45"/>
      <c r="F486" s="45"/>
      <c r="G486" s="393"/>
      <c r="H486" s="393"/>
      <c r="I486" s="45"/>
      <c r="J486" s="45"/>
      <c r="K486" s="45"/>
      <c r="L486" s="393"/>
      <c r="M486" s="389"/>
      <c r="N486" s="394"/>
      <c r="O486" s="115"/>
      <c r="P486" s="115"/>
      <c r="Q486" s="249"/>
      <c r="R486" s="394"/>
      <c r="S486" s="395"/>
      <c r="T486" s="258"/>
      <c r="U486" s="115"/>
      <c r="V486" s="314"/>
      <c r="W486" s="374"/>
      <c r="X486" s="393"/>
      <c r="Y486" s="393"/>
      <c r="Z486" s="63"/>
      <c r="AA486" s="393"/>
      <c r="AB486" s="250"/>
      <c r="AC486" s="250"/>
      <c r="AD486" s="235"/>
      <c r="AE486" s="235"/>
      <c r="AF486" s="250"/>
      <c r="AG486" s="250"/>
      <c r="AH486" s="213"/>
      <c r="AI486" s="250"/>
      <c r="AJ486" s="45"/>
      <c r="AK486" s="120"/>
      <c r="AL486" s="45"/>
      <c r="AM486" s="45"/>
      <c r="AN486" s="45"/>
      <c r="AO486" s="63"/>
      <c r="AP486" s="63"/>
      <c r="AQ486" s="309"/>
      <c r="AR486" s="104"/>
      <c r="AS486" s="116"/>
    </row>
    <row r="487" spans="1:45" s="50" customFormat="1" ht="18" customHeight="1">
      <c r="B487" s="36"/>
      <c r="C487" s="340"/>
      <c r="D487" s="247"/>
      <c r="E487" s="47"/>
      <c r="F487" s="47"/>
      <c r="G487" s="47"/>
      <c r="H487" s="47"/>
      <c r="I487" s="47"/>
      <c r="J487" s="47"/>
      <c r="K487" s="47"/>
      <c r="L487" s="47"/>
      <c r="M487" s="88"/>
      <c r="N487" s="39"/>
      <c r="O487" s="39"/>
      <c r="P487" s="39"/>
      <c r="Q487" s="39"/>
      <c r="R487" s="39"/>
      <c r="S487" s="39"/>
      <c r="T487" s="39"/>
      <c r="U487" s="39"/>
      <c r="V487" s="39"/>
      <c r="W487" s="43"/>
      <c r="X487" s="235"/>
      <c r="Y487" s="43"/>
      <c r="Z487" s="235"/>
      <c r="AA487" s="43"/>
      <c r="AB487" s="235"/>
      <c r="AC487" s="235"/>
      <c r="AD487" s="235"/>
      <c r="AE487" s="235"/>
      <c r="AF487" s="235"/>
      <c r="AG487" s="235"/>
      <c r="AH487" s="235"/>
      <c r="AI487" s="235"/>
      <c r="AJ487" s="43"/>
      <c r="AK487" s="235"/>
      <c r="AL487" s="43"/>
      <c r="AM487" s="43"/>
      <c r="AN487" s="43"/>
      <c r="AO487" s="43"/>
      <c r="AP487" s="43"/>
      <c r="AQ487" s="47"/>
      <c r="AR487" s="48"/>
      <c r="AS487" s="49" t="e">
        <f>#REF!-AL487</f>
        <v>#REF!</v>
      </c>
    </row>
    <row r="488" spans="1:45" s="50" customFormat="1" ht="83.1" customHeight="1">
      <c r="B488" s="80" t="s">
        <v>870</v>
      </c>
      <c r="C488" s="349" t="s">
        <v>64</v>
      </c>
      <c r="D488" s="247">
        <f t="shared" ref="D488:J488" si="1201">D489+D499</f>
        <v>5</v>
      </c>
      <c r="E488" s="43">
        <f t="shared" si="1201"/>
        <v>4</v>
      </c>
      <c r="F488" s="43">
        <f t="shared" si="1201"/>
        <v>17500</v>
      </c>
      <c r="G488" s="43">
        <f t="shared" si="1201"/>
        <v>1</v>
      </c>
      <c r="H488" s="43">
        <f t="shared" si="1201"/>
        <v>7600</v>
      </c>
      <c r="I488" s="43">
        <f t="shared" si="1201"/>
        <v>0</v>
      </c>
      <c r="J488" s="43">
        <f t="shared" si="1201"/>
        <v>0</v>
      </c>
      <c r="K488" s="43">
        <f t="shared" ref="K488:M488" si="1202">K489+K499</f>
        <v>0</v>
      </c>
      <c r="L488" s="43">
        <f t="shared" si="1202"/>
        <v>5</v>
      </c>
      <c r="M488" s="43">
        <f t="shared" si="1202"/>
        <v>0</v>
      </c>
      <c r="N488" s="39"/>
      <c r="O488" s="39"/>
      <c r="P488" s="39"/>
      <c r="Q488" s="39"/>
      <c r="R488" s="39"/>
      <c r="S488" s="93"/>
      <c r="T488" s="39"/>
      <c r="U488" s="39"/>
      <c r="V488" s="39"/>
      <c r="W488" s="43">
        <f>W489+W499</f>
        <v>76314.539000000004</v>
      </c>
      <c r="X488" s="235">
        <f t="shared" ref="X488:AP488" si="1203">X489+X499</f>
        <v>0</v>
      </c>
      <c r="Y488" s="43">
        <f t="shared" si="1203"/>
        <v>76314.539000000004</v>
      </c>
      <c r="Z488" s="235">
        <f t="shared" si="1203"/>
        <v>0</v>
      </c>
      <c r="AA488" s="43">
        <f t="shared" si="1203"/>
        <v>42600</v>
      </c>
      <c r="AB488" s="235">
        <f t="shared" si="1203"/>
        <v>20000</v>
      </c>
      <c r="AC488" s="235">
        <f t="shared" si="1203"/>
        <v>0</v>
      </c>
      <c r="AD488" s="235">
        <f t="shared" si="1203"/>
        <v>0</v>
      </c>
      <c r="AE488" s="235">
        <f t="shared" si="1203"/>
        <v>0</v>
      </c>
      <c r="AF488" s="235">
        <f t="shared" si="1203"/>
        <v>10000</v>
      </c>
      <c r="AG488" s="235">
        <f t="shared" si="1203"/>
        <v>0</v>
      </c>
      <c r="AH488" s="235">
        <f t="shared" si="1203"/>
        <v>0</v>
      </c>
      <c r="AI488" s="235">
        <f t="shared" si="1203"/>
        <v>5000</v>
      </c>
      <c r="AJ488" s="43">
        <f t="shared" si="1203"/>
        <v>15000</v>
      </c>
      <c r="AK488" s="235">
        <f t="shared" si="1203"/>
        <v>25100</v>
      </c>
      <c r="AL488" s="43">
        <f t="shared" si="1203"/>
        <v>25100</v>
      </c>
      <c r="AM488" s="43">
        <f t="shared" si="1203"/>
        <v>25100</v>
      </c>
      <c r="AN488" s="43">
        <f t="shared" si="1203"/>
        <v>0</v>
      </c>
      <c r="AO488" s="43">
        <f t="shared" si="1203"/>
        <v>0</v>
      </c>
      <c r="AP488" s="43">
        <f t="shared" si="1203"/>
        <v>0</v>
      </c>
      <c r="AQ488" s="47"/>
      <c r="AR488" s="48">
        <f t="shared" ref="AR488:AR498" si="1204">AA488-(AF488+AI488+AL488)</f>
        <v>2500</v>
      </c>
      <c r="AS488" s="49" t="e">
        <f>#REF!-AL488</f>
        <v>#REF!</v>
      </c>
    </row>
    <row r="489" spans="1:45" s="50" customFormat="1" ht="64.5" customHeight="1">
      <c r="B489" s="36" t="s">
        <v>50</v>
      </c>
      <c r="C489" s="361" t="s">
        <v>234</v>
      </c>
      <c r="D489" s="247">
        <f t="shared" ref="D489:J490" si="1205">D490</f>
        <v>4</v>
      </c>
      <c r="E489" s="43">
        <f t="shared" si="1205"/>
        <v>4</v>
      </c>
      <c r="F489" s="43">
        <f t="shared" si="1205"/>
        <v>17500</v>
      </c>
      <c r="G489" s="43">
        <f t="shared" si="1205"/>
        <v>0</v>
      </c>
      <c r="H489" s="43">
        <f t="shared" si="1205"/>
        <v>0</v>
      </c>
      <c r="I489" s="43">
        <f t="shared" si="1205"/>
        <v>0</v>
      </c>
      <c r="J489" s="43">
        <f t="shared" si="1205"/>
        <v>0</v>
      </c>
      <c r="K489" s="43">
        <f t="shared" ref="K489:M489" si="1206">K490</f>
        <v>0</v>
      </c>
      <c r="L489" s="43">
        <f t="shared" si="1206"/>
        <v>4</v>
      </c>
      <c r="M489" s="43">
        <f t="shared" si="1206"/>
        <v>0</v>
      </c>
      <c r="N489" s="39"/>
      <c r="O489" s="39"/>
      <c r="P489" s="39"/>
      <c r="Q489" s="39"/>
      <c r="R489" s="39"/>
      <c r="S489" s="39"/>
      <c r="T489" s="39"/>
      <c r="U489" s="39"/>
      <c r="V489" s="39"/>
      <c r="W489" s="43">
        <f t="shared" ref="W489" si="1207">W490</f>
        <v>51151.539000000004</v>
      </c>
      <c r="X489" s="235">
        <f t="shared" ref="X489:AO489" si="1208">X490</f>
        <v>0</v>
      </c>
      <c r="Y489" s="43">
        <f t="shared" si="1208"/>
        <v>51151.539000000004</v>
      </c>
      <c r="Z489" s="235">
        <f t="shared" si="1208"/>
        <v>0</v>
      </c>
      <c r="AA489" s="43">
        <f t="shared" si="1208"/>
        <v>20000</v>
      </c>
      <c r="AB489" s="235">
        <f t="shared" si="1208"/>
        <v>20000</v>
      </c>
      <c r="AC489" s="235">
        <f t="shared" si="1208"/>
        <v>0</v>
      </c>
      <c r="AD489" s="235">
        <f t="shared" si="1208"/>
        <v>0</v>
      </c>
      <c r="AE489" s="235">
        <f t="shared" si="1208"/>
        <v>0</v>
      </c>
      <c r="AF489" s="235">
        <f t="shared" si="1208"/>
        <v>0</v>
      </c>
      <c r="AG489" s="235">
        <f t="shared" si="1208"/>
        <v>0</v>
      </c>
      <c r="AH489" s="235">
        <f t="shared" si="1208"/>
        <v>0</v>
      </c>
      <c r="AI489" s="235">
        <f t="shared" si="1208"/>
        <v>0</v>
      </c>
      <c r="AJ489" s="43">
        <f t="shared" si="1208"/>
        <v>0</v>
      </c>
      <c r="AK489" s="235">
        <f t="shared" si="1208"/>
        <v>17500</v>
      </c>
      <c r="AL489" s="43">
        <f t="shared" si="1208"/>
        <v>17500</v>
      </c>
      <c r="AM489" s="43">
        <f t="shared" si="1208"/>
        <v>17500</v>
      </c>
      <c r="AN489" s="43">
        <f t="shared" si="1208"/>
        <v>0</v>
      </c>
      <c r="AO489" s="43">
        <f t="shared" si="1208"/>
        <v>0</v>
      </c>
      <c r="AP489" s="43"/>
      <c r="AQ489" s="47"/>
      <c r="AR489" s="48">
        <f t="shared" si="1204"/>
        <v>2500</v>
      </c>
      <c r="AS489" s="49" t="e">
        <f>#REF!-AL489</f>
        <v>#REF!</v>
      </c>
    </row>
    <row r="490" spans="1:45" s="50" customFormat="1" ht="36.6" customHeight="1">
      <c r="B490" s="36" t="s">
        <v>106</v>
      </c>
      <c r="C490" s="340" t="s">
        <v>120</v>
      </c>
      <c r="D490" s="247">
        <f t="shared" si="1205"/>
        <v>4</v>
      </c>
      <c r="E490" s="43">
        <f t="shared" si="1205"/>
        <v>4</v>
      </c>
      <c r="F490" s="43">
        <f t="shared" si="1205"/>
        <v>17500</v>
      </c>
      <c r="G490" s="43">
        <f t="shared" si="1205"/>
        <v>0</v>
      </c>
      <c r="H490" s="43">
        <f t="shared" si="1205"/>
        <v>0</v>
      </c>
      <c r="I490" s="43">
        <f t="shared" si="1205"/>
        <v>0</v>
      </c>
      <c r="J490" s="43">
        <f t="shared" si="1205"/>
        <v>0</v>
      </c>
      <c r="K490" s="43">
        <f t="shared" ref="K490:M490" si="1209">K491</f>
        <v>0</v>
      </c>
      <c r="L490" s="43">
        <f t="shared" si="1209"/>
        <v>4</v>
      </c>
      <c r="M490" s="246">
        <f t="shared" si="1209"/>
        <v>0</v>
      </c>
      <c r="N490" s="39"/>
      <c r="O490" s="39"/>
      <c r="P490" s="39"/>
      <c r="Q490" s="39"/>
      <c r="R490" s="39"/>
      <c r="S490" s="39"/>
      <c r="T490" s="39"/>
      <c r="U490" s="39"/>
      <c r="V490" s="39"/>
      <c r="W490" s="43">
        <f t="shared" ref="W490:AO490" si="1210">W491</f>
        <v>51151.539000000004</v>
      </c>
      <c r="X490" s="235">
        <f t="shared" si="1210"/>
        <v>0</v>
      </c>
      <c r="Y490" s="43">
        <f t="shared" si="1210"/>
        <v>51151.539000000004</v>
      </c>
      <c r="Z490" s="235">
        <f t="shared" si="1210"/>
        <v>0</v>
      </c>
      <c r="AA490" s="43">
        <f t="shared" si="1210"/>
        <v>20000</v>
      </c>
      <c r="AB490" s="235">
        <f t="shared" si="1210"/>
        <v>20000</v>
      </c>
      <c r="AC490" s="235">
        <f t="shared" si="1210"/>
        <v>0</v>
      </c>
      <c r="AD490" s="235">
        <f t="shared" si="1210"/>
        <v>0</v>
      </c>
      <c r="AE490" s="235">
        <f t="shared" si="1210"/>
        <v>0</v>
      </c>
      <c r="AF490" s="235">
        <f t="shared" si="1210"/>
        <v>0</v>
      </c>
      <c r="AG490" s="235">
        <f t="shared" si="1210"/>
        <v>0</v>
      </c>
      <c r="AH490" s="235">
        <f t="shared" si="1210"/>
        <v>0</v>
      </c>
      <c r="AI490" s="235">
        <f t="shared" si="1210"/>
        <v>0</v>
      </c>
      <c r="AJ490" s="43">
        <f t="shared" si="1210"/>
        <v>0</v>
      </c>
      <c r="AK490" s="235">
        <f t="shared" si="1210"/>
        <v>17500</v>
      </c>
      <c r="AL490" s="43">
        <f t="shared" si="1210"/>
        <v>17500</v>
      </c>
      <c r="AM490" s="43">
        <f t="shared" si="1210"/>
        <v>17500</v>
      </c>
      <c r="AN490" s="43">
        <f t="shared" si="1210"/>
        <v>0</v>
      </c>
      <c r="AO490" s="43">
        <f t="shared" si="1210"/>
        <v>0</v>
      </c>
      <c r="AP490" s="43"/>
      <c r="AQ490" s="47"/>
      <c r="AR490" s="48">
        <f t="shared" si="1204"/>
        <v>2500</v>
      </c>
      <c r="AS490" s="49" t="e">
        <f>#REF!-AL490</f>
        <v>#REF!</v>
      </c>
    </row>
    <row r="491" spans="1:45" s="133" customFormat="1" ht="18" customHeight="1">
      <c r="B491" s="129" t="s">
        <v>118</v>
      </c>
      <c r="C491" s="348" t="s">
        <v>119</v>
      </c>
      <c r="D491" s="439">
        <f t="shared" ref="D491:M491" si="1211">+D492+D494+D497</f>
        <v>4</v>
      </c>
      <c r="E491" s="69">
        <f t="shared" si="1211"/>
        <v>4</v>
      </c>
      <c r="F491" s="69">
        <f t="shared" si="1211"/>
        <v>17500</v>
      </c>
      <c r="G491" s="69">
        <f t="shared" si="1211"/>
        <v>0</v>
      </c>
      <c r="H491" s="69">
        <f t="shared" si="1211"/>
        <v>0</v>
      </c>
      <c r="I491" s="69">
        <f t="shared" si="1211"/>
        <v>0</v>
      </c>
      <c r="J491" s="69">
        <f t="shared" si="1211"/>
        <v>0</v>
      </c>
      <c r="K491" s="69">
        <f t="shared" si="1211"/>
        <v>0</v>
      </c>
      <c r="L491" s="69">
        <f t="shared" si="1211"/>
        <v>4</v>
      </c>
      <c r="M491" s="69">
        <f t="shared" si="1211"/>
        <v>0</v>
      </c>
      <c r="N491" s="122"/>
      <c r="O491" s="122"/>
      <c r="P491" s="122"/>
      <c r="Q491" s="122"/>
      <c r="R491" s="122"/>
      <c r="S491" s="122"/>
      <c r="T491" s="122"/>
      <c r="U491" s="122"/>
      <c r="V491" s="122"/>
      <c r="W491" s="69">
        <f t="shared" ref="W491:AO491" si="1212">+W492+W494+W497</f>
        <v>51151.539000000004</v>
      </c>
      <c r="X491" s="236">
        <f t="shared" si="1212"/>
        <v>0</v>
      </c>
      <c r="Y491" s="69">
        <f t="shared" si="1212"/>
        <v>51151.539000000004</v>
      </c>
      <c r="Z491" s="236">
        <f t="shared" si="1212"/>
        <v>0</v>
      </c>
      <c r="AA491" s="69">
        <f t="shared" si="1212"/>
        <v>20000</v>
      </c>
      <c r="AB491" s="236">
        <f t="shared" si="1212"/>
        <v>20000</v>
      </c>
      <c r="AC491" s="236">
        <f t="shared" si="1212"/>
        <v>0</v>
      </c>
      <c r="AD491" s="236">
        <f t="shared" si="1212"/>
        <v>0</v>
      </c>
      <c r="AE491" s="236">
        <f t="shared" si="1212"/>
        <v>0</v>
      </c>
      <c r="AF491" s="236">
        <f t="shared" si="1212"/>
        <v>0</v>
      </c>
      <c r="AG491" s="236">
        <f t="shared" si="1212"/>
        <v>0</v>
      </c>
      <c r="AH491" s="236">
        <f t="shared" si="1212"/>
        <v>0</v>
      </c>
      <c r="AI491" s="236">
        <f t="shared" si="1212"/>
        <v>0</v>
      </c>
      <c r="AJ491" s="69">
        <f t="shared" si="1212"/>
        <v>0</v>
      </c>
      <c r="AK491" s="236">
        <f t="shared" si="1212"/>
        <v>17500</v>
      </c>
      <c r="AL491" s="69">
        <f t="shared" si="1212"/>
        <v>17500</v>
      </c>
      <c r="AM491" s="69">
        <f t="shared" si="1212"/>
        <v>17500</v>
      </c>
      <c r="AN491" s="69">
        <f t="shared" si="1212"/>
        <v>0</v>
      </c>
      <c r="AO491" s="69">
        <f t="shared" si="1212"/>
        <v>0</v>
      </c>
      <c r="AP491" s="69"/>
      <c r="AQ491" s="130"/>
      <c r="AR491" s="131">
        <f t="shared" si="1204"/>
        <v>2500</v>
      </c>
      <c r="AS491" s="132" t="e">
        <f>#REF!-AL491</f>
        <v>#REF!</v>
      </c>
    </row>
    <row r="492" spans="1:45" s="50" customFormat="1" ht="28.5">
      <c r="B492" s="36"/>
      <c r="C492" s="340" t="s">
        <v>960</v>
      </c>
      <c r="D492" s="247">
        <f t="shared" ref="D492" si="1213">SUM(D493:D493)</f>
        <v>1</v>
      </c>
      <c r="E492" s="43">
        <f t="shared" ref="E492" si="1214">SUM(E493:E493)</f>
        <v>1</v>
      </c>
      <c r="F492" s="43">
        <f t="shared" ref="F492" si="1215">SUM(F493:F493)</f>
        <v>5000</v>
      </c>
      <c r="G492" s="43">
        <f t="shared" ref="G492" si="1216">SUM(G493:G493)</f>
        <v>0</v>
      </c>
      <c r="H492" s="43">
        <f t="shared" ref="H492" si="1217">SUM(H493:H493)</f>
        <v>0</v>
      </c>
      <c r="I492" s="43">
        <f t="shared" ref="I492" si="1218">SUM(I493:I493)</f>
        <v>0</v>
      </c>
      <c r="J492" s="43">
        <f t="shared" ref="J492" si="1219">SUM(J493:J493)</f>
        <v>0</v>
      </c>
      <c r="K492" s="43">
        <f t="shared" ref="K492" si="1220">SUM(K493:K493)</f>
        <v>0</v>
      </c>
      <c r="L492" s="43">
        <f t="shared" ref="L492" si="1221">SUM(L493:L493)</f>
        <v>1</v>
      </c>
      <c r="M492" s="43">
        <f t="shared" ref="M492" si="1222">SUM(M493:M493)</f>
        <v>0</v>
      </c>
      <c r="N492" s="39"/>
      <c r="O492" s="39"/>
      <c r="P492" s="39"/>
      <c r="Q492" s="39"/>
      <c r="R492" s="39"/>
      <c r="S492" s="39"/>
      <c r="T492" s="39"/>
      <c r="U492" s="39"/>
      <c r="V492" s="39"/>
      <c r="W492" s="43">
        <f>W493</f>
        <v>16620</v>
      </c>
      <c r="X492" s="235">
        <f t="shared" ref="X492:AO492" si="1223">X493</f>
        <v>0</v>
      </c>
      <c r="Y492" s="43">
        <f t="shared" si="1223"/>
        <v>16620</v>
      </c>
      <c r="Z492" s="235">
        <f t="shared" si="1223"/>
        <v>0</v>
      </c>
      <c r="AA492" s="43">
        <f t="shared" si="1223"/>
        <v>5000</v>
      </c>
      <c r="AB492" s="235">
        <f t="shared" si="1223"/>
        <v>5000</v>
      </c>
      <c r="AC492" s="235">
        <f t="shared" si="1223"/>
        <v>0</v>
      </c>
      <c r="AD492" s="235">
        <f t="shared" si="1223"/>
        <v>0</v>
      </c>
      <c r="AE492" s="235">
        <f t="shared" si="1223"/>
        <v>0</v>
      </c>
      <c r="AF492" s="235">
        <f t="shared" si="1223"/>
        <v>0</v>
      </c>
      <c r="AG492" s="235">
        <f t="shared" si="1223"/>
        <v>0</v>
      </c>
      <c r="AH492" s="235">
        <f t="shared" si="1223"/>
        <v>0</v>
      </c>
      <c r="AI492" s="235">
        <f t="shared" si="1223"/>
        <v>0</v>
      </c>
      <c r="AJ492" s="43">
        <f t="shared" si="1223"/>
        <v>0</v>
      </c>
      <c r="AK492" s="235">
        <f t="shared" si="1223"/>
        <v>5000</v>
      </c>
      <c r="AL492" s="43">
        <f t="shared" si="1223"/>
        <v>5000</v>
      </c>
      <c r="AM492" s="43">
        <f t="shared" si="1223"/>
        <v>5000</v>
      </c>
      <c r="AN492" s="43">
        <f t="shared" si="1223"/>
        <v>0</v>
      </c>
      <c r="AO492" s="43">
        <f t="shared" si="1223"/>
        <v>0</v>
      </c>
      <c r="AP492" s="43"/>
      <c r="AQ492" s="47"/>
      <c r="AR492" s="48">
        <f t="shared" si="1204"/>
        <v>0</v>
      </c>
      <c r="AS492" s="49" t="e">
        <f>#REF!-AL492</f>
        <v>#REF!</v>
      </c>
    </row>
    <row r="493" spans="1:45" s="50" customFormat="1" ht="60.6" customHeight="1">
      <c r="A493" s="50" t="s">
        <v>104</v>
      </c>
      <c r="B493" s="237">
        <v>1</v>
      </c>
      <c r="C493" s="345" t="s">
        <v>781</v>
      </c>
      <c r="D493" s="93">
        <v>1</v>
      </c>
      <c r="E493" s="47">
        <v>1</v>
      </c>
      <c r="F493" s="47">
        <f>E493*AL493</f>
        <v>5000</v>
      </c>
      <c r="G493" s="47"/>
      <c r="H493" s="47"/>
      <c r="I493" s="47"/>
      <c r="J493" s="47"/>
      <c r="K493" s="47"/>
      <c r="L493" s="47">
        <v>1</v>
      </c>
      <c r="M493" s="88"/>
      <c r="N493" s="39" t="s">
        <v>213</v>
      </c>
      <c r="O493" s="39" t="s">
        <v>252</v>
      </c>
      <c r="P493" s="39" t="s">
        <v>253</v>
      </c>
      <c r="Q493" s="39"/>
      <c r="R493" s="39"/>
      <c r="S493" s="39"/>
      <c r="T493" s="90" t="s">
        <v>114</v>
      </c>
      <c r="U493" s="136" t="s">
        <v>254</v>
      </c>
      <c r="V493" s="90" t="s">
        <v>782</v>
      </c>
      <c r="W493" s="46">
        <v>16620</v>
      </c>
      <c r="X493" s="217"/>
      <c r="Y493" s="46">
        <v>16620</v>
      </c>
      <c r="Z493" s="235"/>
      <c r="AA493" s="46">
        <v>5000</v>
      </c>
      <c r="AB493" s="217">
        <v>5000</v>
      </c>
      <c r="AC493" s="235"/>
      <c r="AD493" s="235"/>
      <c r="AE493" s="235"/>
      <c r="AF493" s="235"/>
      <c r="AG493" s="235"/>
      <c r="AH493" s="235"/>
      <c r="AI493" s="235"/>
      <c r="AJ493" s="47">
        <f>AF493+AI493</f>
        <v>0</v>
      </c>
      <c r="AK493" s="217">
        <v>5000</v>
      </c>
      <c r="AL493" s="47">
        <f t="shared" ref="AL493" si="1224">AM493+AN493+AO493</f>
        <v>5000</v>
      </c>
      <c r="AM493" s="46">
        <v>5000</v>
      </c>
      <c r="AN493" s="43"/>
      <c r="AO493" s="43"/>
      <c r="AP493" s="43"/>
      <c r="AQ493" s="47"/>
      <c r="AR493" s="48">
        <f t="shared" si="1204"/>
        <v>0</v>
      </c>
      <c r="AS493" s="49" t="e">
        <f>#REF!-AL493</f>
        <v>#REF!</v>
      </c>
    </row>
    <row r="494" spans="1:45" s="50" customFormat="1" ht="28.5">
      <c r="B494" s="36"/>
      <c r="C494" s="340" t="s">
        <v>953</v>
      </c>
      <c r="D494" s="247">
        <f t="shared" ref="D494:J494" si="1225">SUM(D495:D496)</f>
        <v>2</v>
      </c>
      <c r="E494" s="43">
        <f t="shared" si="1225"/>
        <v>2</v>
      </c>
      <c r="F494" s="43">
        <f t="shared" si="1225"/>
        <v>7500</v>
      </c>
      <c r="G494" s="43">
        <f t="shared" si="1225"/>
        <v>0</v>
      </c>
      <c r="H494" s="43">
        <f t="shared" si="1225"/>
        <v>0</v>
      </c>
      <c r="I494" s="43">
        <f t="shared" si="1225"/>
        <v>0</v>
      </c>
      <c r="J494" s="43">
        <f t="shared" si="1225"/>
        <v>0</v>
      </c>
      <c r="K494" s="43">
        <f t="shared" ref="K494" si="1226">SUM(K495:K496)</f>
        <v>0</v>
      </c>
      <c r="L494" s="43">
        <f t="shared" ref="L494" si="1227">SUM(L495:L496)</f>
        <v>2</v>
      </c>
      <c r="M494" s="246">
        <f t="shared" ref="M494" si="1228">SUM(M495:M496)</f>
        <v>0</v>
      </c>
      <c r="N494" s="39"/>
      <c r="O494" s="39"/>
      <c r="P494" s="39"/>
      <c r="Q494" s="39"/>
      <c r="R494" s="39"/>
      <c r="S494" s="39"/>
      <c r="T494" s="39"/>
      <c r="U494" s="39"/>
      <c r="V494" s="39"/>
      <c r="W494" s="43">
        <f>W495+W496</f>
        <v>26405.539000000001</v>
      </c>
      <c r="X494" s="235">
        <f t="shared" ref="X494:AO494" si="1229">X495+X496</f>
        <v>0</v>
      </c>
      <c r="Y494" s="43">
        <f t="shared" si="1229"/>
        <v>26405.539000000001</v>
      </c>
      <c r="Z494" s="235">
        <f t="shared" si="1229"/>
        <v>0</v>
      </c>
      <c r="AA494" s="43">
        <f t="shared" si="1229"/>
        <v>10000</v>
      </c>
      <c r="AB494" s="235">
        <f t="shared" si="1229"/>
        <v>10000</v>
      </c>
      <c r="AC494" s="235">
        <f t="shared" si="1229"/>
        <v>0</v>
      </c>
      <c r="AD494" s="235">
        <f t="shared" si="1229"/>
        <v>0</v>
      </c>
      <c r="AE494" s="235">
        <f t="shared" si="1229"/>
        <v>0</v>
      </c>
      <c r="AF494" s="235">
        <f t="shared" si="1229"/>
        <v>0</v>
      </c>
      <c r="AG494" s="235">
        <f t="shared" si="1229"/>
        <v>0</v>
      </c>
      <c r="AH494" s="235">
        <f t="shared" si="1229"/>
        <v>0</v>
      </c>
      <c r="AI494" s="235">
        <f t="shared" si="1229"/>
        <v>0</v>
      </c>
      <c r="AJ494" s="43">
        <f t="shared" si="1229"/>
        <v>0</v>
      </c>
      <c r="AK494" s="235">
        <f t="shared" si="1229"/>
        <v>7500</v>
      </c>
      <c r="AL494" s="43">
        <f t="shared" si="1229"/>
        <v>7500</v>
      </c>
      <c r="AM494" s="43">
        <f t="shared" si="1229"/>
        <v>7500</v>
      </c>
      <c r="AN494" s="43">
        <f t="shared" si="1229"/>
        <v>0</v>
      </c>
      <c r="AO494" s="43">
        <f t="shared" si="1229"/>
        <v>0</v>
      </c>
      <c r="AP494" s="43"/>
      <c r="AQ494" s="47"/>
      <c r="AR494" s="48">
        <f t="shared" si="1204"/>
        <v>2500</v>
      </c>
      <c r="AS494" s="49" t="e">
        <f>#REF!-AL494</f>
        <v>#REF!</v>
      </c>
    </row>
    <row r="495" spans="1:45" s="50" customFormat="1" ht="71.099999999999994" customHeight="1">
      <c r="A495" s="50" t="s">
        <v>104</v>
      </c>
      <c r="B495" s="237">
        <v>1</v>
      </c>
      <c r="C495" s="345" t="s">
        <v>778</v>
      </c>
      <c r="D495" s="93">
        <v>1</v>
      </c>
      <c r="E495" s="47">
        <v>1</v>
      </c>
      <c r="F495" s="47">
        <f>E495*AL495</f>
        <v>2500</v>
      </c>
      <c r="G495" s="47"/>
      <c r="H495" s="47"/>
      <c r="I495" s="47"/>
      <c r="J495" s="47"/>
      <c r="K495" s="47"/>
      <c r="L495" s="47">
        <v>1</v>
      </c>
      <c r="M495" s="88"/>
      <c r="N495" s="39" t="s">
        <v>222</v>
      </c>
      <c r="O495" s="39" t="s">
        <v>302</v>
      </c>
      <c r="P495" s="39" t="s">
        <v>303</v>
      </c>
      <c r="Q495" s="39"/>
      <c r="R495" s="39"/>
      <c r="S495" s="39"/>
      <c r="T495" s="90" t="s">
        <v>115</v>
      </c>
      <c r="U495" s="90" t="s">
        <v>364</v>
      </c>
      <c r="V495" s="90" t="s">
        <v>779</v>
      </c>
      <c r="W495" s="46">
        <v>14146.539000000001</v>
      </c>
      <c r="X495" s="217"/>
      <c r="Y495" s="46">
        <v>14146.539000000001</v>
      </c>
      <c r="Z495" s="235"/>
      <c r="AA495" s="46">
        <v>5000</v>
      </c>
      <c r="AB495" s="217">
        <v>5000</v>
      </c>
      <c r="AC495" s="235"/>
      <c r="AD495" s="235"/>
      <c r="AE495" s="235"/>
      <c r="AF495" s="235"/>
      <c r="AG495" s="235"/>
      <c r="AH495" s="235"/>
      <c r="AI495" s="235"/>
      <c r="AJ495" s="47">
        <f>AF495+AI495</f>
        <v>0</v>
      </c>
      <c r="AK495" s="217">
        <v>2500</v>
      </c>
      <c r="AL495" s="47">
        <f t="shared" ref="AL495:AL498" si="1230">AM495+AN495+AO495</f>
        <v>2500</v>
      </c>
      <c r="AM495" s="46">
        <v>2500</v>
      </c>
      <c r="AN495" s="43"/>
      <c r="AO495" s="43"/>
      <c r="AP495" s="43"/>
      <c r="AQ495" s="47"/>
      <c r="AR495" s="48">
        <f t="shared" si="1204"/>
        <v>2500</v>
      </c>
      <c r="AS495" s="49" t="e">
        <f>#REF!-AL495</f>
        <v>#REF!</v>
      </c>
    </row>
    <row r="496" spans="1:45" s="50" customFormat="1" ht="65.099999999999994" customHeight="1">
      <c r="A496" s="50" t="s">
        <v>104</v>
      </c>
      <c r="B496" s="237">
        <v>2</v>
      </c>
      <c r="C496" s="345" t="s">
        <v>872</v>
      </c>
      <c r="D496" s="93">
        <v>1</v>
      </c>
      <c r="E496" s="47">
        <v>1</v>
      </c>
      <c r="F496" s="47">
        <f>E496*AL496</f>
        <v>5000</v>
      </c>
      <c r="G496" s="47"/>
      <c r="H496" s="47"/>
      <c r="I496" s="47"/>
      <c r="J496" s="47"/>
      <c r="K496" s="47"/>
      <c r="L496" s="47">
        <v>1</v>
      </c>
      <c r="M496" s="88"/>
      <c r="N496" s="39" t="s">
        <v>222</v>
      </c>
      <c r="O496" s="39" t="s">
        <v>302</v>
      </c>
      <c r="P496" s="39" t="s">
        <v>303</v>
      </c>
      <c r="Q496" s="39"/>
      <c r="R496" s="39"/>
      <c r="S496" s="39"/>
      <c r="T496" s="90" t="s">
        <v>116</v>
      </c>
      <c r="U496" s="90" t="s">
        <v>365</v>
      </c>
      <c r="V496" s="90" t="s">
        <v>780</v>
      </c>
      <c r="W496" s="46">
        <v>12259</v>
      </c>
      <c r="X496" s="217"/>
      <c r="Y496" s="46">
        <v>12259</v>
      </c>
      <c r="Z496" s="235"/>
      <c r="AA496" s="46">
        <v>5000</v>
      </c>
      <c r="AB496" s="217">
        <v>5000</v>
      </c>
      <c r="AC496" s="235"/>
      <c r="AD496" s="235"/>
      <c r="AE496" s="235"/>
      <c r="AF496" s="235"/>
      <c r="AG496" s="235"/>
      <c r="AH496" s="235"/>
      <c r="AI496" s="235"/>
      <c r="AJ496" s="47">
        <f>AF496+AI496</f>
        <v>0</v>
      </c>
      <c r="AK496" s="217">
        <v>5000</v>
      </c>
      <c r="AL496" s="47">
        <f t="shared" si="1230"/>
        <v>5000</v>
      </c>
      <c r="AM496" s="46">
        <v>5000</v>
      </c>
      <c r="AN496" s="43"/>
      <c r="AO496" s="43"/>
      <c r="AP496" s="43"/>
      <c r="AQ496" s="47"/>
      <c r="AR496" s="48">
        <f t="shared" si="1204"/>
        <v>0</v>
      </c>
      <c r="AS496" s="49" t="e">
        <f>#REF!-AL496</f>
        <v>#REF!</v>
      </c>
    </row>
    <row r="497" spans="1:45" s="50" customFormat="1" ht="33.950000000000003" customHeight="1">
      <c r="B497" s="36"/>
      <c r="C497" s="340" t="s">
        <v>954</v>
      </c>
      <c r="D497" s="247">
        <f t="shared" ref="D497:J497" si="1231">D498</f>
        <v>1</v>
      </c>
      <c r="E497" s="43">
        <f t="shared" si="1231"/>
        <v>1</v>
      </c>
      <c r="F497" s="43">
        <f t="shared" si="1231"/>
        <v>5000</v>
      </c>
      <c r="G497" s="43">
        <f t="shared" si="1231"/>
        <v>0</v>
      </c>
      <c r="H497" s="43">
        <f t="shared" si="1231"/>
        <v>0</v>
      </c>
      <c r="I497" s="43">
        <f t="shared" si="1231"/>
        <v>0</v>
      </c>
      <c r="J497" s="43">
        <f t="shared" si="1231"/>
        <v>0</v>
      </c>
      <c r="K497" s="43">
        <f t="shared" ref="K497:M497" si="1232">K498</f>
        <v>0</v>
      </c>
      <c r="L497" s="43">
        <f t="shared" si="1232"/>
        <v>1</v>
      </c>
      <c r="M497" s="246">
        <f t="shared" si="1232"/>
        <v>0</v>
      </c>
      <c r="N497" s="39"/>
      <c r="O497" s="39"/>
      <c r="P497" s="39"/>
      <c r="Q497" s="39"/>
      <c r="R497" s="39"/>
      <c r="S497" s="39"/>
      <c r="T497" s="90"/>
      <c r="U497" s="90"/>
      <c r="V497" s="90"/>
      <c r="W497" s="43">
        <f t="shared" ref="W497:AP497" si="1233">W498</f>
        <v>8126</v>
      </c>
      <c r="X497" s="235">
        <f t="shared" si="1233"/>
        <v>0</v>
      </c>
      <c r="Y497" s="43">
        <f t="shared" si="1233"/>
        <v>8126</v>
      </c>
      <c r="Z497" s="235">
        <f t="shared" si="1233"/>
        <v>0</v>
      </c>
      <c r="AA497" s="43">
        <f t="shared" si="1233"/>
        <v>5000</v>
      </c>
      <c r="AB497" s="235">
        <f t="shared" si="1233"/>
        <v>5000</v>
      </c>
      <c r="AC497" s="235">
        <f t="shared" si="1233"/>
        <v>0</v>
      </c>
      <c r="AD497" s="235">
        <f t="shared" si="1233"/>
        <v>0</v>
      </c>
      <c r="AE497" s="235">
        <f t="shared" si="1233"/>
        <v>0</v>
      </c>
      <c r="AF497" s="235">
        <f t="shared" si="1233"/>
        <v>0</v>
      </c>
      <c r="AG497" s="235">
        <f t="shared" si="1233"/>
        <v>0</v>
      </c>
      <c r="AH497" s="235">
        <f t="shared" si="1233"/>
        <v>0</v>
      </c>
      <c r="AI497" s="235">
        <f t="shared" si="1233"/>
        <v>0</v>
      </c>
      <c r="AJ497" s="43">
        <f t="shared" si="1233"/>
        <v>0</v>
      </c>
      <c r="AK497" s="235">
        <f t="shared" si="1233"/>
        <v>5000</v>
      </c>
      <c r="AL497" s="43">
        <f t="shared" si="1233"/>
        <v>5000</v>
      </c>
      <c r="AM497" s="43">
        <f t="shared" si="1233"/>
        <v>5000</v>
      </c>
      <c r="AN497" s="43">
        <f t="shared" si="1233"/>
        <v>0</v>
      </c>
      <c r="AO497" s="43">
        <f t="shared" si="1233"/>
        <v>0</v>
      </c>
      <c r="AP497" s="43">
        <f t="shared" si="1233"/>
        <v>0</v>
      </c>
      <c r="AQ497" s="47"/>
      <c r="AR497" s="48">
        <f t="shared" si="1204"/>
        <v>0</v>
      </c>
      <c r="AS497" s="49" t="e">
        <f>#REF!-AL497</f>
        <v>#REF!</v>
      </c>
    </row>
    <row r="498" spans="1:45" s="50" customFormat="1" ht="53.1" customHeight="1">
      <c r="A498" s="50" t="s">
        <v>104</v>
      </c>
      <c r="B498" s="237">
        <v>1</v>
      </c>
      <c r="C498" s="345" t="s">
        <v>783</v>
      </c>
      <c r="D498" s="93">
        <v>1</v>
      </c>
      <c r="E498" s="47">
        <v>1</v>
      </c>
      <c r="F498" s="47">
        <f>E498*AL498</f>
        <v>5000</v>
      </c>
      <c r="G498" s="47"/>
      <c r="H498" s="47"/>
      <c r="I498" s="47"/>
      <c r="J498" s="47"/>
      <c r="K498" s="47"/>
      <c r="L498" s="47">
        <v>1</v>
      </c>
      <c r="M498" s="88"/>
      <c r="N498" s="39" t="s">
        <v>161</v>
      </c>
      <c r="O498" s="39" t="s">
        <v>362</v>
      </c>
      <c r="P498" s="39" t="s">
        <v>363</v>
      </c>
      <c r="Q498" s="39"/>
      <c r="R498" s="39"/>
      <c r="S498" s="39"/>
      <c r="T498" s="105" t="s">
        <v>114</v>
      </c>
      <c r="U498" s="90"/>
      <c r="V498" s="106" t="s">
        <v>366</v>
      </c>
      <c r="W498" s="47">
        <v>8126</v>
      </c>
      <c r="X498" s="217"/>
      <c r="Y498" s="47">
        <v>8126</v>
      </c>
      <c r="Z498" s="235"/>
      <c r="AA498" s="46">
        <v>5000</v>
      </c>
      <c r="AB498" s="217">
        <v>5000</v>
      </c>
      <c r="AC498" s="235"/>
      <c r="AD498" s="235"/>
      <c r="AE498" s="235"/>
      <c r="AF498" s="235"/>
      <c r="AG498" s="235"/>
      <c r="AH498" s="235"/>
      <c r="AI498" s="235"/>
      <c r="AJ498" s="47">
        <f>AF498+AI498</f>
        <v>0</v>
      </c>
      <c r="AK498" s="241">
        <v>5000</v>
      </c>
      <c r="AL498" s="47">
        <f t="shared" si="1230"/>
        <v>5000</v>
      </c>
      <c r="AM498" s="61">
        <v>5000</v>
      </c>
      <c r="AN498" s="43"/>
      <c r="AO498" s="43"/>
      <c r="AP498" s="43"/>
      <c r="AQ498" s="47"/>
      <c r="AR498" s="48">
        <f t="shared" si="1204"/>
        <v>0</v>
      </c>
      <c r="AS498" s="49" t="e">
        <f>#REF!-AL498</f>
        <v>#REF!</v>
      </c>
    </row>
    <row r="499" spans="1:45" s="50" customFormat="1" ht="34.5" customHeight="1">
      <c r="B499" s="36" t="s">
        <v>51</v>
      </c>
      <c r="C499" s="340" t="s">
        <v>175</v>
      </c>
      <c r="D499" s="247">
        <f t="shared" ref="D499:M499" si="1234">D500</f>
        <v>1</v>
      </c>
      <c r="E499" s="43">
        <f t="shared" si="1234"/>
        <v>0</v>
      </c>
      <c r="F499" s="43">
        <f t="shared" si="1234"/>
        <v>0</v>
      </c>
      <c r="G499" s="43">
        <f t="shared" si="1234"/>
        <v>1</v>
      </c>
      <c r="H499" s="43">
        <f t="shared" si="1234"/>
        <v>7600</v>
      </c>
      <c r="I499" s="43">
        <f t="shared" si="1234"/>
        <v>0</v>
      </c>
      <c r="J499" s="43">
        <f t="shared" si="1234"/>
        <v>0</v>
      </c>
      <c r="K499" s="43">
        <f t="shared" si="1234"/>
        <v>0</v>
      </c>
      <c r="L499" s="43">
        <f t="shared" si="1234"/>
        <v>1</v>
      </c>
      <c r="M499" s="43">
        <f t="shared" si="1234"/>
        <v>0</v>
      </c>
      <c r="N499" s="39"/>
      <c r="O499" s="39"/>
      <c r="P499" s="39"/>
      <c r="Q499" s="39"/>
      <c r="R499" s="39"/>
      <c r="S499" s="39"/>
      <c r="T499" s="105"/>
      <c r="U499" s="90"/>
      <c r="V499" s="106"/>
      <c r="W499" s="43">
        <f>W500</f>
        <v>25163</v>
      </c>
      <c r="X499" s="235">
        <f t="shared" ref="X499:AP500" si="1235">X500</f>
        <v>0</v>
      </c>
      <c r="Y499" s="43">
        <f t="shared" si="1235"/>
        <v>25163</v>
      </c>
      <c r="Z499" s="235">
        <f t="shared" si="1235"/>
        <v>0</v>
      </c>
      <c r="AA499" s="43">
        <f t="shared" si="1235"/>
        <v>22600</v>
      </c>
      <c r="AB499" s="235">
        <f t="shared" si="1235"/>
        <v>0</v>
      </c>
      <c r="AC499" s="235">
        <f t="shared" si="1235"/>
        <v>0</v>
      </c>
      <c r="AD499" s="235">
        <f t="shared" si="1235"/>
        <v>0</v>
      </c>
      <c r="AE499" s="235">
        <f t="shared" si="1235"/>
        <v>0</v>
      </c>
      <c r="AF499" s="235">
        <f t="shared" si="1235"/>
        <v>10000</v>
      </c>
      <c r="AG499" s="235">
        <f t="shared" si="1235"/>
        <v>0</v>
      </c>
      <c r="AH499" s="235">
        <f t="shared" si="1235"/>
        <v>0</v>
      </c>
      <c r="AI499" s="235">
        <f t="shared" si="1235"/>
        <v>5000</v>
      </c>
      <c r="AJ499" s="43">
        <f t="shared" si="1235"/>
        <v>15000</v>
      </c>
      <c r="AK499" s="235">
        <f t="shared" si="1235"/>
        <v>7600</v>
      </c>
      <c r="AL499" s="43">
        <f t="shared" si="1235"/>
        <v>7600</v>
      </c>
      <c r="AM499" s="43">
        <f t="shared" si="1235"/>
        <v>7600</v>
      </c>
      <c r="AN499" s="43">
        <f t="shared" si="1235"/>
        <v>0</v>
      </c>
      <c r="AO499" s="43">
        <f t="shared" si="1235"/>
        <v>0</v>
      </c>
      <c r="AP499" s="43">
        <f t="shared" si="1235"/>
        <v>0</v>
      </c>
      <c r="AQ499" s="47"/>
      <c r="AR499" s="48"/>
      <c r="AS499" s="49"/>
    </row>
    <row r="500" spans="1:45" s="244" customFormat="1" ht="20.45" customHeight="1">
      <c r="B500" s="129" t="s">
        <v>121</v>
      </c>
      <c r="C500" s="348" t="s">
        <v>119</v>
      </c>
      <c r="D500" s="260">
        <f t="shared" ref="D500:M500" si="1236">D501</f>
        <v>1</v>
      </c>
      <c r="E500" s="315">
        <f t="shared" si="1236"/>
        <v>0</v>
      </c>
      <c r="F500" s="315">
        <f t="shared" si="1236"/>
        <v>0</v>
      </c>
      <c r="G500" s="315">
        <f t="shared" si="1236"/>
        <v>1</v>
      </c>
      <c r="H500" s="315">
        <f t="shared" si="1236"/>
        <v>7600</v>
      </c>
      <c r="I500" s="315">
        <f t="shared" si="1236"/>
        <v>0</v>
      </c>
      <c r="J500" s="315">
        <f t="shared" si="1236"/>
        <v>0</v>
      </c>
      <c r="K500" s="315">
        <f t="shared" si="1236"/>
        <v>0</v>
      </c>
      <c r="L500" s="315">
        <f t="shared" si="1236"/>
        <v>1</v>
      </c>
      <c r="M500" s="315">
        <f t="shared" si="1236"/>
        <v>0</v>
      </c>
      <c r="N500" s="245"/>
      <c r="O500" s="245"/>
      <c r="P500" s="245"/>
      <c r="Q500" s="245"/>
      <c r="R500" s="245"/>
      <c r="S500" s="245"/>
      <c r="T500" s="260"/>
      <c r="U500" s="311"/>
      <c r="V500" s="316"/>
      <c r="W500" s="315">
        <f t="shared" ref="W500" si="1237">W501</f>
        <v>25163</v>
      </c>
      <c r="X500" s="317">
        <f t="shared" si="1235"/>
        <v>0</v>
      </c>
      <c r="Y500" s="315">
        <f t="shared" si="1235"/>
        <v>25163</v>
      </c>
      <c r="Z500" s="317">
        <f t="shared" si="1235"/>
        <v>0</v>
      </c>
      <c r="AA500" s="315">
        <f t="shared" si="1235"/>
        <v>22600</v>
      </c>
      <c r="AB500" s="317">
        <f t="shared" si="1235"/>
        <v>0</v>
      </c>
      <c r="AC500" s="317">
        <f t="shared" si="1235"/>
        <v>0</v>
      </c>
      <c r="AD500" s="317">
        <f t="shared" si="1235"/>
        <v>0</v>
      </c>
      <c r="AE500" s="317">
        <f t="shared" si="1235"/>
        <v>0</v>
      </c>
      <c r="AF500" s="317">
        <f t="shared" si="1235"/>
        <v>10000</v>
      </c>
      <c r="AG500" s="317">
        <f t="shared" si="1235"/>
        <v>0</v>
      </c>
      <c r="AH500" s="317">
        <f t="shared" si="1235"/>
        <v>0</v>
      </c>
      <c r="AI500" s="317">
        <f t="shared" si="1235"/>
        <v>5000</v>
      </c>
      <c r="AJ500" s="315">
        <f t="shared" si="1235"/>
        <v>15000</v>
      </c>
      <c r="AK500" s="317">
        <f t="shared" si="1235"/>
        <v>7600</v>
      </c>
      <c r="AL500" s="315">
        <f t="shared" si="1235"/>
        <v>7600</v>
      </c>
      <c r="AM500" s="315">
        <f t="shared" si="1235"/>
        <v>7600</v>
      </c>
      <c r="AN500" s="315">
        <f t="shared" si="1235"/>
        <v>0</v>
      </c>
      <c r="AO500" s="315">
        <f t="shared" si="1235"/>
        <v>0</v>
      </c>
      <c r="AP500" s="315">
        <f t="shared" si="1235"/>
        <v>0</v>
      </c>
      <c r="AQ500" s="69"/>
      <c r="AR500" s="261"/>
      <c r="AS500" s="262"/>
    </row>
    <row r="501" spans="1:45" s="50" customFormat="1" ht="56.45" customHeight="1">
      <c r="A501" s="50" t="s">
        <v>749</v>
      </c>
      <c r="B501" s="237">
        <v>1</v>
      </c>
      <c r="C501" s="312" t="s">
        <v>748</v>
      </c>
      <c r="D501" s="93">
        <v>1</v>
      </c>
      <c r="E501" s="47"/>
      <c r="F501" s="47"/>
      <c r="G501" s="47">
        <v>1</v>
      </c>
      <c r="H501" s="47">
        <f>G501*AL501</f>
        <v>7600</v>
      </c>
      <c r="I501" s="47"/>
      <c r="J501" s="47"/>
      <c r="K501" s="47"/>
      <c r="L501" s="47">
        <v>1</v>
      </c>
      <c r="M501" s="88"/>
      <c r="N501" s="40" t="s">
        <v>141</v>
      </c>
      <c r="O501" s="39" t="s">
        <v>109</v>
      </c>
      <c r="P501" s="39" t="s">
        <v>429</v>
      </c>
      <c r="Q501" s="40">
        <v>7895727</v>
      </c>
      <c r="R501" s="39"/>
      <c r="S501" s="39"/>
      <c r="T501" s="41" t="s">
        <v>114</v>
      </c>
      <c r="U501" s="90"/>
      <c r="V501" s="336" t="s">
        <v>871</v>
      </c>
      <c r="W501" s="84">
        <v>25163</v>
      </c>
      <c r="X501" s="217"/>
      <c r="Y501" s="84">
        <v>25163</v>
      </c>
      <c r="Z501" s="235"/>
      <c r="AA501" s="46">
        <v>22600</v>
      </c>
      <c r="AB501" s="217"/>
      <c r="AC501" s="235"/>
      <c r="AD501" s="235"/>
      <c r="AE501" s="235"/>
      <c r="AF501" s="120">
        <v>10000</v>
      </c>
      <c r="AG501" s="235"/>
      <c r="AH501" s="235"/>
      <c r="AI501" s="422">
        <v>5000</v>
      </c>
      <c r="AJ501" s="47">
        <f>AF501+AI501</f>
        <v>15000</v>
      </c>
      <c r="AK501" s="241">
        <v>7600</v>
      </c>
      <c r="AL501" s="47">
        <f t="shared" ref="AL501" si="1238">AM501+AN501+AO501</f>
        <v>7600</v>
      </c>
      <c r="AM501" s="61">
        <v>7600</v>
      </c>
      <c r="AN501" s="43"/>
      <c r="AO501" s="43"/>
      <c r="AP501" s="43"/>
      <c r="AQ501" s="145"/>
      <c r="AR501" s="48"/>
      <c r="AS501" s="49"/>
    </row>
    <row r="502" spans="1:45" s="50" customFormat="1">
      <c r="B502" s="89"/>
      <c r="C502" s="342"/>
      <c r="D502" s="93"/>
      <c r="E502" s="47"/>
      <c r="F502" s="47"/>
      <c r="G502" s="47"/>
      <c r="H502" s="47"/>
      <c r="I502" s="47"/>
      <c r="J502" s="47"/>
      <c r="K502" s="47"/>
      <c r="L502" s="47"/>
      <c r="M502" s="88"/>
      <c r="N502" s="39"/>
      <c r="O502" s="39"/>
      <c r="P502" s="39"/>
      <c r="Q502" s="39"/>
      <c r="R502" s="39"/>
      <c r="S502" s="39"/>
      <c r="T502" s="105"/>
      <c r="U502" s="90"/>
      <c r="V502" s="106"/>
      <c r="W502" s="47"/>
      <c r="X502" s="217"/>
      <c r="Y502" s="46"/>
      <c r="Z502" s="235"/>
      <c r="AA502" s="46"/>
      <c r="AB502" s="217"/>
      <c r="AC502" s="235"/>
      <c r="AD502" s="235"/>
      <c r="AE502" s="235"/>
      <c r="AF502" s="235"/>
      <c r="AG502" s="235"/>
      <c r="AH502" s="235"/>
      <c r="AI502" s="235"/>
      <c r="AJ502" s="47"/>
      <c r="AK502" s="241"/>
      <c r="AL502" s="47"/>
      <c r="AM502" s="61"/>
      <c r="AN502" s="43"/>
      <c r="AO502" s="43"/>
      <c r="AP502" s="43"/>
      <c r="AQ502" s="47"/>
      <c r="AR502" s="48"/>
      <c r="AS502" s="49"/>
    </row>
    <row r="503" spans="1:45" s="72" customFormat="1" ht="17.100000000000001" customHeight="1">
      <c r="B503" s="36" t="s">
        <v>866</v>
      </c>
      <c r="C503" s="340" t="s">
        <v>103</v>
      </c>
      <c r="D503" s="247">
        <f t="shared" ref="D503:M503" si="1239">D504+D505+D508</f>
        <v>3</v>
      </c>
      <c r="E503" s="43">
        <f t="shared" si="1239"/>
        <v>1</v>
      </c>
      <c r="F503" s="43">
        <f t="shared" si="1239"/>
        <v>5000</v>
      </c>
      <c r="G503" s="43">
        <f t="shared" si="1239"/>
        <v>1</v>
      </c>
      <c r="H503" s="43">
        <f t="shared" si="1239"/>
        <v>13000</v>
      </c>
      <c r="I503" s="43">
        <f t="shared" si="1239"/>
        <v>1</v>
      </c>
      <c r="J503" s="43">
        <f t="shared" si="1239"/>
        <v>5341</v>
      </c>
      <c r="K503" s="43">
        <f t="shared" si="1239"/>
        <v>0</v>
      </c>
      <c r="L503" s="43">
        <f t="shared" si="1239"/>
        <v>3</v>
      </c>
      <c r="M503" s="43">
        <f t="shared" si="1239"/>
        <v>0</v>
      </c>
      <c r="N503" s="80"/>
      <c r="O503" s="80"/>
      <c r="P503" s="80"/>
      <c r="Q503" s="80"/>
      <c r="R503" s="80"/>
      <c r="S503" s="247"/>
      <c r="T503" s="138"/>
      <c r="U503" s="139"/>
      <c r="V503" s="140"/>
      <c r="W503" s="43">
        <f>W504+W505+W508</f>
        <v>78831</v>
      </c>
      <c r="X503" s="235">
        <f t="shared" ref="X503:AP503" si="1240">X504+X505+X508</f>
        <v>14257</v>
      </c>
      <c r="Y503" s="43">
        <f t="shared" si="1240"/>
        <v>73257</v>
      </c>
      <c r="Z503" s="235">
        <f t="shared" si="1240"/>
        <v>0</v>
      </c>
      <c r="AA503" s="43">
        <f t="shared" si="1240"/>
        <v>53700</v>
      </c>
      <c r="AB503" s="235">
        <f t="shared" si="1240"/>
        <v>15000</v>
      </c>
      <c r="AC503" s="235">
        <f t="shared" si="1240"/>
        <v>24443</v>
      </c>
      <c r="AD503" s="235">
        <f t="shared" si="1240"/>
        <v>14257</v>
      </c>
      <c r="AE503" s="235">
        <f t="shared" si="1240"/>
        <v>0</v>
      </c>
      <c r="AF503" s="235">
        <f t="shared" si="1240"/>
        <v>0</v>
      </c>
      <c r="AG503" s="235">
        <f t="shared" si="1240"/>
        <v>0</v>
      </c>
      <c r="AH503" s="235">
        <f t="shared" si="1240"/>
        <v>0</v>
      </c>
      <c r="AI503" s="235">
        <f t="shared" si="1240"/>
        <v>11236</v>
      </c>
      <c r="AJ503" s="43">
        <f t="shared" si="1240"/>
        <v>11236</v>
      </c>
      <c r="AK503" s="235">
        <f t="shared" si="1240"/>
        <v>33341</v>
      </c>
      <c r="AL503" s="43">
        <f t="shared" si="1240"/>
        <v>23341</v>
      </c>
      <c r="AM503" s="43">
        <f t="shared" si="1240"/>
        <v>5000</v>
      </c>
      <c r="AN503" s="43">
        <f t="shared" si="1240"/>
        <v>14000</v>
      </c>
      <c r="AO503" s="43">
        <f t="shared" si="1240"/>
        <v>4341</v>
      </c>
      <c r="AP503" s="43">
        <f t="shared" si="1240"/>
        <v>0</v>
      </c>
      <c r="AQ503" s="43"/>
      <c r="AR503" s="143"/>
      <c r="AS503" s="49" t="e">
        <f>#REF!-AL503</f>
        <v>#REF!</v>
      </c>
    </row>
    <row r="504" spans="1:45" s="72" customFormat="1" ht="53.45" customHeight="1">
      <c r="A504" s="72" t="s">
        <v>749</v>
      </c>
      <c r="B504" s="36" t="s">
        <v>50</v>
      </c>
      <c r="C504" s="346" t="s">
        <v>561</v>
      </c>
      <c r="D504" s="247">
        <v>1</v>
      </c>
      <c r="E504" s="43"/>
      <c r="F504" s="43"/>
      <c r="G504" s="43"/>
      <c r="H504" s="43"/>
      <c r="I504" s="43">
        <v>1</v>
      </c>
      <c r="J504" s="43">
        <f>I504*AL504</f>
        <v>5341</v>
      </c>
      <c r="K504" s="43"/>
      <c r="L504" s="43">
        <v>1</v>
      </c>
      <c r="M504" s="233"/>
      <c r="N504" s="80" t="s">
        <v>532</v>
      </c>
      <c r="O504" s="80" t="s">
        <v>109</v>
      </c>
      <c r="P504" s="80" t="s">
        <v>39</v>
      </c>
      <c r="Q504" s="80"/>
      <c r="R504" s="80"/>
      <c r="S504" s="80"/>
      <c r="T504" s="138" t="s">
        <v>113</v>
      </c>
      <c r="U504" s="139"/>
      <c r="V504" s="140" t="s">
        <v>869</v>
      </c>
      <c r="W504" s="57">
        <v>15700</v>
      </c>
      <c r="X504" s="318">
        <v>14257</v>
      </c>
      <c r="Y504" s="142">
        <v>14257</v>
      </c>
      <c r="Z504" s="235"/>
      <c r="AA504" s="57">
        <f>AB504+AC504+AD504+AE504</f>
        <v>15700</v>
      </c>
      <c r="AB504" s="420"/>
      <c r="AC504" s="234">
        <v>1443</v>
      </c>
      <c r="AD504" s="318">
        <v>14257</v>
      </c>
      <c r="AE504" s="235"/>
      <c r="AF504" s="235"/>
      <c r="AG504" s="235"/>
      <c r="AH504" s="235"/>
      <c r="AI504" s="286">
        <v>1236</v>
      </c>
      <c r="AJ504" s="43">
        <f>AF504+AI504</f>
        <v>1236</v>
      </c>
      <c r="AK504" s="286">
        <v>5341</v>
      </c>
      <c r="AL504" s="43">
        <f>AM504+AN504+AO504+AP504</f>
        <v>5341</v>
      </c>
      <c r="AM504" s="141"/>
      <c r="AN504" s="43">
        <v>1000</v>
      </c>
      <c r="AO504" s="141">
        <v>4341</v>
      </c>
      <c r="AP504" s="43"/>
      <c r="AQ504" s="43"/>
      <c r="AR504" s="143"/>
      <c r="AS504" s="238" t="e">
        <f>#REF!-AL504</f>
        <v>#REF!</v>
      </c>
    </row>
    <row r="505" spans="1:45" s="50" customFormat="1" ht="38.1" customHeight="1">
      <c r="B505" s="36" t="s">
        <v>51</v>
      </c>
      <c r="C505" s="340" t="s">
        <v>175</v>
      </c>
      <c r="D505" s="247">
        <f>D506</f>
        <v>1</v>
      </c>
      <c r="E505" s="43">
        <f t="shared" ref="E505:M506" si="1241">E506</f>
        <v>0</v>
      </c>
      <c r="F505" s="43">
        <f t="shared" si="1241"/>
        <v>0</v>
      </c>
      <c r="G505" s="43">
        <f t="shared" si="1241"/>
        <v>1</v>
      </c>
      <c r="H505" s="43">
        <f t="shared" si="1241"/>
        <v>13000</v>
      </c>
      <c r="I505" s="43">
        <f t="shared" si="1241"/>
        <v>0</v>
      </c>
      <c r="J505" s="43">
        <f t="shared" si="1241"/>
        <v>0</v>
      </c>
      <c r="K505" s="43">
        <f t="shared" si="1241"/>
        <v>0</v>
      </c>
      <c r="L505" s="43">
        <f t="shared" si="1241"/>
        <v>1</v>
      </c>
      <c r="M505" s="43">
        <f t="shared" si="1241"/>
        <v>0</v>
      </c>
      <c r="N505" s="39"/>
      <c r="O505" s="39"/>
      <c r="P505" s="39"/>
      <c r="Q505" s="39"/>
      <c r="R505" s="39"/>
      <c r="S505" s="39"/>
      <c r="T505" s="105"/>
      <c r="U505" s="90"/>
      <c r="V505" s="106"/>
      <c r="W505" s="246">
        <f>W506</f>
        <v>23228</v>
      </c>
      <c r="X505" s="319">
        <f t="shared" ref="X505:AN506" si="1242">X506</f>
        <v>0</v>
      </c>
      <c r="Y505" s="246">
        <f t="shared" si="1242"/>
        <v>23000</v>
      </c>
      <c r="Z505" s="319">
        <f t="shared" si="1242"/>
        <v>0</v>
      </c>
      <c r="AA505" s="246">
        <f t="shared" si="1242"/>
        <v>23000</v>
      </c>
      <c r="AB505" s="319"/>
      <c r="AC505" s="319">
        <f t="shared" si="1242"/>
        <v>23000</v>
      </c>
      <c r="AD505" s="319"/>
      <c r="AE505" s="319"/>
      <c r="AF505" s="319"/>
      <c r="AG505" s="319">
        <f t="shared" si="1242"/>
        <v>0</v>
      </c>
      <c r="AH505" s="319">
        <f t="shared" si="1242"/>
        <v>0</v>
      </c>
      <c r="AI505" s="319">
        <f t="shared" si="1242"/>
        <v>10000</v>
      </c>
      <c r="AJ505" s="246">
        <f t="shared" si="1242"/>
        <v>10000</v>
      </c>
      <c r="AK505" s="319">
        <f t="shared" si="1242"/>
        <v>13000</v>
      </c>
      <c r="AL505" s="246">
        <f t="shared" si="1242"/>
        <v>13000</v>
      </c>
      <c r="AM505" s="246"/>
      <c r="AN505" s="246">
        <f t="shared" si="1242"/>
        <v>13000</v>
      </c>
      <c r="AO505" s="246"/>
      <c r="AP505" s="246"/>
      <c r="AQ505" s="47"/>
      <c r="AR505" s="48"/>
      <c r="AS505" s="49"/>
    </row>
    <row r="506" spans="1:45" s="133" customFormat="1" ht="17.100000000000001" customHeight="1">
      <c r="B506" s="129" t="s">
        <v>121</v>
      </c>
      <c r="C506" s="352" t="s">
        <v>119</v>
      </c>
      <c r="D506" s="439">
        <f>D507</f>
        <v>1</v>
      </c>
      <c r="E506" s="69">
        <f t="shared" si="1241"/>
        <v>0</v>
      </c>
      <c r="F506" s="69">
        <f t="shared" si="1241"/>
        <v>0</v>
      </c>
      <c r="G506" s="69">
        <f t="shared" si="1241"/>
        <v>1</v>
      </c>
      <c r="H506" s="69">
        <f t="shared" si="1241"/>
        <v>13000</v>
      </c>
      <c r="I506" s="69">
        <f t="shared" si="1241"/>
        <v>0</v>
      </c>
      <c r="J506" s="69">
        <f t="shared" si="1241"/>
        <v>0</v>
      </c>
      <c r="K506" s="69">
        <f t="shared" si="1241"/>
        <v>0</v>
      </c>
      <c r="L506" s="69">
        <f t="shared" si="1241"/>
        <v>1</v>
      </c>
      <c r="M506" s="69">
        <f t="shared" si="1241"/>
        <v>0</v>
      </c>
      <c r="N506" s="122"/>
      <c r="O506" s="122"/>
      <c r="P506" s="122"/>
      <c r="Q506" s="122"/>
      <c r="R506" s="122"/>
      <c r="S506" s="122"/>
      <c r="T506" s="281"/>
      <c r="U506" s="124"/>
      <c r="V506" s="320"/>
      <c r="W506" s="273">
        <f>W507</f>
        <v>23228</v>
      </c>
      <c r="X506" s="321">
        <f t="shared" si="1242"/>
        <v>0</v>
      </c>
      <c r="Y506" s="273">
        <f t="shared" si="1242"/>
        <v>23000</v>
      </c>
      <c r="Z506" s="321">
        <f t="shared" si="1242"/>
        <v>0</v>
      </c>
      <c r="AA506" s="273">
        <f t="shared" si="1242"/>
        <v>23000</v>
      </c>
      <c r="AB506" s="321"/>
      <c r="AC506" s="321">
        <f t="shared" si="1242"/>
        <v>23000</v>
      </c>
      <c r="AD506" s="321"/>
      <c r="AE506" s="321"/>
      <c r="AF506" s="321"/>
      <c r="AG506" s="321">
        <f t="shared" si="1242"/>
        <v>0</v>
      </c>
      <c r="AH506" s="321">
        <f t="shared" si="1242"/>
        <v>0</v>
      </c>
      <c r="AI506" s="321">
        <f t="shared" si="1242"/>
        <v>10000</v>
      </c>
      <c r="AJ506" s="273">
        <f t="shared" si="1242"/>
        <v>10000</v>
      </c>
      <c r="AK506" s="321">
        <f t="shared" si="1242"/>
        <v>13000</v>
      </c>
      <c r="AL506" s="273">
        <f t="shared" si="1242"/>
        <v>13000</v>
      </c>
      <c r="AM506" s="273"/>
      <c r="AN506" s="273">
        <f t="shared" si="1242"/>
        <v>13000</v>
      </c>
      <c r="AO506" s="273"/>
      <c r="AP506" s="273"/>
      <c r="AQ506" s="130"/>
      <c r="AR506" s="131"/>
      <c r="AS506" s="132"/>
    </row>
    <row r="507" spans="1:45" s="50" customFormat="1" ht="51" customHeight="1">
      <c r="A507" s="50" t="s">
        <v>749</v>
      </c>
      <c r="B507" s="237">
        <v>1</v>
      </c>
      <c r="C507" s="342" t="s">
        <v>661</v>
      </c>
      <c r="D507" s="93">
        <v>1</v>
      </c>
      <c r="E507" s="47"/>
      <c r="F507" s="47"/>
      <c r="G507" s="47">
        <v>1</v>
      </c>
      <c r="H507" s="47">
        <f>G507*AL507</f>
        <v>13000</v>
      </c>
      <c r="I507" s="47"/>
      <c r="J507" s="47"/>
      <c r="K507" s="47"/>
      <c r="L507" s="47">
        <v>1</v>
      </c>
      <c r="M507" s="88"/>
      <c r="N507" s="39" t="s">
        <v>192</v>
      </c>
      <c r="O507" s="39" t="s">
        <v>109</v>
      </c>
      <c r="P507" s="39" t="s">
        <v>360</v>
      </c>
      <c r="Q507" s="39">
        <v>7919006</v>
      </c>
      <c r="R507" s="39"/>
      <c r="S507" s="39"/>
      <c r="T507" s="39" t="s">
        <v>114</v>
      </c>
      <c r="U507" s="90"/>
      <c r="V507" s="39" t="s">
        <v>662</v>
      </c>
      <c r="W507" s="322">
        <v>23228</v>
      </c>
      <c r="X507" s="264"/>
      <c r="Y507" s="84">
        <v>23000</v>
      </c>
      <c r="Z507" s="120"/>
      <c r="AA507" s="84">
        <f>AB507+AC507+AD507+AE507</f>
        <v>23000</v>
      </c>
      <c r="AB507" s="217"/>
      <c r="AC507" s="422">
        <v>23000</v>
      </c>
      <c r="AD507" s="264"/>
      <c r="AE507" s="120"/>
      <c r="AF507" s="120"/>
      <c r="AG507" s="120"/>
      <c r="AH507" s="120"/>
      <c r="AI507" s="120">
        <v>10000</v>
      </c>
      <c r="AJ507" s="47">
        <f>AF507+AI507</f>
        <v>10000</v>
      </c>
      <c r="AK507" s="120">
        <v>13000</v>
      </c>
      <c r="AL507" s="47">
        <f>AM507+AN507+AO507+AP507</f>
        <v>13000</v>
      </c>
      <c r="AM507" s="61"/>
      <c r="AN507" s="47">
        <v>13000</v>
      </c>
      <c r="AO507" s="61"/>
      <c r="AP507" s="47"/>
      <c r="AQ507" s="309"/>
    </row>
    <row r="508" spans="1:45" s="50" customFormat="1" ht="36" customHeight="1">
      <c r="A508" s="50" t="s">
        <v>104</v>
      </c>
      <c r="B508" s="36" t="s">
        <v>52</v>
      </c>
      <c r="C508" s="340" t="s">
        <v>120</v>
      </c>
      <c r="D508" s="247">
        <f>D509</f>
        <v>1</v>
      </c>
      <c r="E508" s="43">
        <f t="shared" ref="E508:M509" si="1243">E509</f>
        <v>1</v>
      </c>
      <c r="F508" s="43">
        <f t="shared" si="1243"/>
        <v>5000</v>
      </c>
      <c r="G508" s="43">
        <f t="shared" si="1243"/>
        <v>0</v>
      </c>
      <c r="H508" s="43">
        <f t="shared" si="1243"/>
        <v>0</v>
      </c>
      <c r="I508" s="43">
        <f t="shared" si="1243"/>
        <v>0</v>
      </c>
      <c r="J508" s="43">
        <f t="shared" si="1243"/>
        <v>0</v>
      </c>
      <c r="K508" s="43">
        <f t="shared" si="1243"/>
        <v>0</v>
      </c>
      <c r="L508" s="43">
        <f t="shared" si="1243"/>
        <v>1</v>
      </c>
      <c r="M508" s="43">
        <f t="shared" si="1243"/>
        <v>0</v>
      </c>
      <c r="N508" s="39"/>
      <c r="O508" s="39"/>
      <c r="P508" s="39"/>
      <c r="Q508" s="39"/>
      <c r="R508" s="39"/>
      <c r="S508" s="39"/>
      <c r="T508" s="39"/>
      <c r="U508" s="90"/>
      <c r="V508" s="39"/>
      <c r="W508" s="246">
        <f>W509</f>
        <v>39903</v>
      </c>
      <c r="X508" s="319">
        <f t="shared" ref="X508:AM509" si="1244">X509</f>
        <v>0</v>
      </c>
      <c r="Y508" s="246">
        <f t="shared" si="1244"/>
        <v>36000</v>
      </c>
      <c r="Z508" s="319">
        <f t="shared" si="1244"/>
        <v>0</v>
      </c>
      <c r="AA508" s="246">
        <f t="shared" si="1244"/>
        <v>15000</v>
      </c>
      <c r="AB508" s="319">
        <f t="shared" si="1244"/>
        <v>15000</v>
      </c>
      <c r="AC508" s="319"/>
      <c r="AD508" s="319"/>
      <c r="AE508" s="319"/>
      <c r="AF508" s="319"/>
      <c r="AG508" s="319"/>
      <c r="AH508" s="319"/>
      <c r="AI508" s="319"/>
      <c r="AJ508" s="246"/>
      <c r="AK508" s="319">
        <f t="shared" si="1244"/>
        <v>15000</v>
      </c>
      <c r="AL508" s="246">
        <f t="shared" si="1244"/>
        <v>5000</v>
      </c>
      <c r="AM508" s="246">
        <f t="shared" si="1244"/>
        <v>5000</v>
      </c>
      <c r="AN508" s="246"/>
      <c r="AO508" s="246"/>
      <c r="AP508" s="246"/>
      <c r="AQ508" s="309"/>
    </row>
    <row r="509" spans="1:45" s="50" customFormat="1">
      <c r="B509" s="129" t="s">
        <v>188</v>
      </c>
      <c r="C509" s="352" t="s">
        <v>119</v>
      </c>
      <c r="D509" s="439">
        <f>D510</f>
        <v>1</v>
      </c>
      <c r="E509" s="69">
        <f t="shared" si="1243"/>
        <v>1</v>
      </c>
      <c r="F509" s="69">
        <f t="shared" si="1243"/>
        <v>5000</v>
      </c>
      <c r="G509" s="69">
        <f t="shared" si="1243"/>
        <v>0</v>
      </c>
      <c r="H509" s="69">
        <f t="shared" si="1243"/>
        <v>0</v>
      </c>
      <c r="I509" s="69">
        <f t="shared" si="1243"/>
        <v>0</v>
      </c>
      <c r="J509" s="69">
        <f t="shared" si="1243"/>
        <v>0</v>
      </c>
      <c r="K509" s="69">
        <f t="shared" si="1243"/>
        <v>0</v>
      </c>
      <c r="L509" s="69">
        <f t="shared" si="1243"/>
        <v>1</v>
      </c>
      <c r="M509" s="69">
        <f t="shared" si="1243"/>
        <v>0</v>
      </c>
      <c r="N509" s="39"/>
      <c r="O509" s="39"/>
      <c r="P509" s="39"/>
      <c r="Q509" s="39"/>
      <c r="R509" s="39"/>
      <c r="S509" s="39"/>
      <c r="T509" s="39"/>
      <c r="U509" s="90"/>
      <c r="V509" s="39"/>
      <c r="W509" s="273">
        <f>W510</f>
        <v>39903</v>
      </c>
      <c r="X509" s="321">
        <f t="shared" si="1244"/>
        <v>0</v>
      </c>
      <c r="Y509" s="273">
        <f t="shared" si="1244"/>
        <v>36000</v>
      </c>
      <c r="Z509" s="321">
        <f t="shared" si="1244"/>
        <v>0</v>
      </c>
      <c r="AA509" s="273">
        <f t="shared" si="1244"/>
        <v>15000</v>
      </c>
      <c r="AB509" s="321">
        <f t="shared" si="1244"/>
        <v>15000</v>
      </c>
      <c r="AC509" s="321"/>
      <c r="AD509" s="321"/>
      <c r="AE509" s="321"/>
      <c r="AF509" s="321"/>
      <c r="AG509" s="321"/>
      <c r="AH509" s="321"/>
      <c r="AI509" s="321"/>
      <c r="AJ509" s="273"/>
      <c r="AK509" s="321">
        <f t="shared" si="1244"/>
        <v>15000</v>
      </c>
      <c r="AL509" s="273">
        <f t="shared" si="1244"/>
        <v>5000</v>
      </c>
      <c r="AM509" s="273">
        <f t="shared" si="1244"/>
        <v>5000</v>
      </c>
      <c r="AN509" s="273"/>
      <c r="AO509" s="273"/>
      <c r="AP509" s="273"/>
      <c r="AQ509" s="309"/>
    </row>
    <row r="510" spans="1:45" s="50" customFormat="1" ht="67.5" customHeight="1">
      <c r="A510" s="50" t="s">
        <v>104</v>
      </c>
      <c r="B510" s="237">
        <v>1</v>
      </c>
      <c r="C510" s="345" t="s">
        <v>688</v>
      </c>
      <c r="D510" s="93">
        <v>1</v>
      </c>
      <c r="E510" s="47">
        <v>1</v>
      </c>
      <c r="F510" s="47">
        <f>E510*AL510</f>
        <v>5000</v>
      </c>
      <c r="G510" s="47"/>
      <c r="H510" s="47"/>
      <c r="I510" s="47"/>
      <c r="J510" s="47"/>
      <c r="K510" s="47"/>
      <c r="L510" s="47">
        <v>1</v>
      </c>
      <c r="M510" s="88"/>
      <c r="N510" s="39" t="s">
        <v>192</v>
      </c>
      <c r="O510" s="39" t="s">
        <v>359</v>
      </c>
      <c r="P510" s="39" t="s">
        <v>360</v>
      </c>
      <c r="Q510" s="39">
        <v>7911376</v>
      </c>
      <c r="R510" s="39"/>
      <c r="S510" s="39"/>
      <c r="T510" s="39" t="s">
        <v>115</v>
      </c>
      <c r="U510" s="90"/>
      <c r="V510" s="39" t="s">
        <v>679</v>
      </c>
      <c r="W510" s="322">
        <v>39903</v>
      </c>
      <c r="X510" s="264"/>
      <c r="Y510" s="84">
        <v>36000</v>
      </c>
      <c r="Z510" s="120"/>
      <c r="AA510" s="84">
        <f>AB510+AC510+AD510+AE510</f>
        <v>15000</v>
      </c>
      <c r="AB510" s="217">
        <v>15000</v>
      </c>
      <c r="AC510" s="422"/>
      <c r="AD510" s="264"/>
      <c r="AE510" s="120"/>
      <c r="AF510" s="120"/>
      <c r="AG510" s="120"/>
      <c r="AH510" s="120"/>
      <c r="AI510" s="120"/>
      <c r="AJ510" s="47"/>
      <c r="AK510" s="120">
        <v>15000</v>
      </c>
      <c r="AL510" s="47">
        <f>AM510+AN510+AO510+AP510</f>
        <v>5000</v>
      </c>
      <c r="AM510" s="61">
        <v>5000</v>
      </c>
      <c r="AN510" s="45"/>
      <c r="AO510" s="61"/>
      <c r="AP510" s="47"/>
      <c r="AQ510" s="145"/>
    </row>
    <row r="511" spans="1:45">
      <c r="B511" s="161"/>
      <c r="C511" s="362"/>
      <c r="D511" s="457"/>
      <c r="E511" s="71"/>
      <c r="F511" s="71"/>
      <c r="G511" s="71"/>
      <c r="H511" s="71"/>
      <c r="I511" s="71"/>
      <c r="J511" s="71"/>
      <c r="K511" s="71"/>
      <c r="L511" s="71"/>
      <c r="M511" s="323"/>
      <c r="N511" s="162"/>
      <c r="O511" s="162"/>
      <c r="P511" s="162"/>
      <c r="Q511" s="162"/>
      <c r="R511" s="162"/>
      <c r="S511" s="163"/>
      <c r="T511" s="161"/>
      <c r="U511" s="161"/>
      <c r="V511" s="161"/>
      <c r="W511" s="71"/>
      <c r="X511" s="324"/>
      <c r="Y511" s="71"/>
      <c r="Z511" s="324"/>
      <c r="AA511" s="71"/>
      <c r="AB511" s="324"/>
      <c r="AC511" s="324"/>
      <c r="AD511" s="324"/>
      <c r="AE511" s="324"/>
      <c r="AF511" s="324"/>
      <c r="AG511" s="324"/>
      <c r="AH511" s="324"/>
      <c r="AI511" s="324"/>
      <c r="AJ511" s="71"/>
      <c r="AK511" s="324"/>
      <c r="AL511" s="71"/>
      <c r="AM511" s="71"/>
      <c r="AN511" s="71"/>
      <c r="AO511" s="71"/>
      <c r="AP511" s="71"/>
      <c r="AQ511" s="164"/>
      <c r="AR511" s="48">
        <f>AA511-(AF511+AI511+AL511)</f>
        <v>0</v>
      </c>
      <c r="AS511" s="81">
        <f t="shared" ref="AS511:AS512" si="1245">AL511-(AM511+AN511+AO511)</f>
        <v>0</v>
      </c>
    </row>
    <row r="512" spans="1:45">
      <c r="S512" s="165"/>
      <c r="W512" s="49"/>
      <c r="X512" s="325"/>
      <c r="Y512" s="49"/>
      <c r="Z512" s="325"/>
      <c r="AA512" s="49"/>
      <c r="AB512" s="325"/>
      <c r="AC512" s="325"/>
      <c r="AD512" s="325"/>
      <c r="AE512" s="325"/>
      <c r="AF512" s="325"/>
      <c r="AG512" s="325"/>
      <c r="AH512" s="325"/>
      <c r="AI512" s="325"/>
      <c r="AJ512" s="49"/>
      <c r="AK512" s="325"/>
      <c r="AL512" s="49"/>
      <c r="AM512" s="49"/>
      <c r="AN512" s="49"/>
      <c r="AO512" s="49"/>
      <c r="AP512" s="49"/>
      <c r="AR512" s="48">
        <f>AA512-(AF512+AI512+AL512)</f>
        <v>0</v>
      </c>
      <c r="AS512" s="81">
        <f t="shared" si="1245"/>
        <v>0</v>
      </c>
    </row>
    <row r="513" spans="3:45">
      <c r="C513" s="406" t="s">
        <v>1033</v>
      </c>
      <c r="S513" s="165"/>
      <c r="W513" s="49"/>
      <c r="X513" s="325"/>
      <c r="Y513" s="49"/>
      <c r="Z513" s="325"/>
      <c r="AA513" s="49"/>
      <c r="AB513" s="325"/>
      <c r="AC513" s="325"/>
      <c r="AD513" s="325"/>
      <c r="AE513" s="325"/>
      <c r="AF513" s="325"/>
      <c r="AG513" s="325"/>
      <c r="AH513" s="325"/>
      <c r="AI513" s="325"/>
      <c r="AJ513" s="49"/>
      <c r="AK513" s="325"/>
      <c r="AL513" s="49"/>
      <c r="AM513" s="49"/>
      <c r="AN513" s="49"/>
      <c r="AO513" s="49"/>
      <c r="AP513" s="49"/>
      <c r="AR513" s="48"/>
      <c r="AS513" s="81"/>
    </row>
    <row r="514" spans="3:45">
      <c r="C514" s="51" t="s">
        <v>1034</v>
      </c>
      <c r="S514" s="165"/>
      <c r="W514" s="49"/>
      <c r="X514" s="325"/>
      <c r="Y514" s="49"/>
      <c r="Z514" s="325"/>
      <c r="AA514" s="49"/>
      <c r="AB514" s="325"/>
      <c r="AC514" s="325"/>
      <c r="AD514" s="325"/>
      <c r="AE514" s="325"/>
      <c r="AF514" s="325"/>
      <c r="AG514" s="325"/>
      <c r="AH514" s="325"/>
      <c r="AI514" s="325"/>
      <c r="AJ514" s="49"/>
      <c r="AK514" s="325"/>
      <c r="AL514" s="49"/>
      <c r="AM514" s="49"/>
      <c r="AN514" s="49"/>
      <c r="AO514" s="49"/>
      <c r="AP514" s="49"/>
      <c r="AR514" s="48"/>
      <c r="AS514" s="81"/>
    </row>
    <row r="515" spans="3:45">
      <c r="S515" s="165"/>
      <c r="W515" s="49"/>
      <c r="X515" s="325"/>
      <c r="Y515" s="49"/>
      <c r="Z515" s="325"/>
      <c r="AA515" s="49"/>
      <c r="AB515" s="325"/>
      <c r="AC515" s="325"/>
      <c r="AD515" s="325"/>
      <c r="AE515" s="325"/>
      <c r="AF515" s="325"/>
      <c r="AG515" s="325"/>
      <c r="AH515" s="325"/>
      <c r="AI515" s="325"/>
      <c r="AJ515" s="49"/>
      <c r="AK515" s="325"/>
      <c r="AL515" s="49"/>
      <c r="AM515" s="49"/>
      <c r="AN515" s="49"/>
      <c r="AO515" s="49"/>
      <c r="AP515" s="49"/>
      <c r="AR515" s="48"/>
      <c r="AS515" s="81"/>
    </row>
    <row r="516" spans="3:45">
      <c r="S516" s="165"/>
      <c r="W516" s="49"/>
      <c r="X516" s="325"/>
      <c r="Y516" s="49"/>
      <c r="Z516" s="325"/>
      <c r="AA516" s="49"/>
      <c r="AB516" s="325"/>
      <c r="AC516" s="325"/>
      <c r="AD516" s="325"/>
      <c r="AE516" s="325"/>
      <c r="AF516" s="325"/>
      <c r="AG516" s="325"/>
      <c r="AH516" s="325"/>
      <c r="AI516" s="325"/>
      <c r="AJ516" s="49"/>
      <c r="AK516" s="325"/>
      <c r="AL516" s="49"/>
      <c r="AM516" s="49"/>
      <c r="AN516" s="49"/>
      <c r="AO516" s="49"/>
      <c r="AP516" s="49"/>
      <c r="AR516" s="48"/>
      <c r="AS516" s="81"/>
    </row>
    <row r="517" spans="3:45">
      <c r="S517" s="165"/>
      <c r="W517" s="49"/>
      <c r="X517" s="325"/>
      <c r="Y517" s="49"/>
      <c r="Z517" s="325"/>
      <c r="AA517" s="49"/>
      <c r="AB517" s="325"/>
      <c r="AC517" s="325"/>
      <c r="AD517" s="325"/>
      <c r="AE517" s="325"/>
      <c r="AF517" s="325"/>
      <c r="AG517" s="325"/>
      <c r="AH517" s="325"/>
      <c r="AI517" s="325"/>
      <c r="AJ517" s="49"/>
      <c r="AK517" s="325"/>
      <c r="AL517" s="49"/>
      <c r="AM517" s="49"/>
      <c r="AN517" s="49"/>
      <c r="AO517" s="49"/>
      <c r="AP517" s="49"/>
      <c r="AR517" s="48"/>
      <c r="AS517" s="81"/>
    </row>
    <row r="518" spans="3:45">
      <c r="S518" s="165"/>
      <c r="W518" s="49"/>
      <c r="X518" s="325"/>
      <c r="Y518" s="49"/>
      <c r="Z518" s="325"/>
      <c r="AA518" s="49"/>
      <c r="AB518" s="325"/>
      <c r="AC518" s="325"/>
      <c r="AD518" s="325"/>
      <c r="AE518" s="325"/>
      <c r="AF518" s="325"/>
      <c r="AG518" s="325"/>
      <c r="AH518" s="325"/>
      <c r="AI518" s="325"/>
      <c r="AJ518" s="49"/>
      <c r="AK518" s="325"/>
      <c r="AL518" s="49"/>
      <c r="AM518" s="49"/>
      <c r="AN518" s="49"/>
      <c r="AO518" s="49"/>
      <c r="AP518" s="49"/>
      <c r="AR518" s="48"/>
      <c r="AS518" s="81"/>
    </row>
    <row r="519" spans="3:45">
      <c r="S519" s="165"/>
      <c r="W519" s="49"/>
      <c r="X519" s="325"/>
      <c r="Y519" s="49"/>
      <c r="Z519" s="325"/>
      <c r="AA519" s="49"/>
      <c r="AB519" s="325"/>
      <c r="AC519" s="325"/>
      <c r="AD519" s="325"/>
      <c r="AE519" s="325"/>
      <c r="AF519" s="325"/>
      <c r="AG519" s="325"/>
      <c r="AH519" s="325"/>
      <c r="AI519" s="325"/>
      <c r="AJ519" s="49"/>
      <c r="AK519" s="325"/>
      <c r="AL519" s="49"/>
      <c r="AM519" s="49"/>
      <c r="AN519" s="49"/>
      <c r="AO519" s="49"/>
      <c r="AP519" s="49"/>
      <c r="AR519" s="48"/>
      <c r="AS519" s="81"/>
    </row>
    <row r="520" spans="3:45">
      <c r="S520" s="165"/>
      <c r="W520" s="49"/>
      <c r="X520" s="325"/>
      <c r="Y520" s="49"/>
      <c r="Z520" s="325"/>
      <c r="AA520" s="49"/>
      <c r="AB520" s="325"/>
      <c r="AC520" s="325"/>
      <c r="AD520" s="325"/>
      <c r="AE520" s="325"/>
      <c r="AF520" s="325"/>
      <c r="AG520" s="325"/>
      <c r="AH520" s="325"/>
      <c r="AI520" s="325"/>
      <c r="AJ520" s="49"/>
      <c r="AK520" s="325"/>
      <c r="AL520" s="49"/>
      <c r="AM520" s="49"/>
      <c r="AN520" s="49"/>
      <c r="AO520" s="49"/>
      <c r="AP520" s="49"/>
      <c r="AR520" s="48"/>
      <c r="AS520" s="81"/>
    </row>
    <row r="521" spans="3:45">
      <c r="S521" s="165"/>
      <c r="W521" s="49"/>
      <c r="X521" s="325"/>
      <c r="Y521" s="49"/>
      <c r="Z521" s="325"/>
      <c r="AA521" s="49"/>
      <c r="AB521" s="325"/>
      <c r="AC521" s="325"/>
      <c r="AD521" s="325"/>
      <c r="AE521" s="325"/>
      <c r="AF521" s="325"/>
      <c r="AG521" s="325"/>
      <c r="AH521" s="325"/>
      <c r="AI521" s="325"/>
      <c r="AJ521" s="49"/>
      <c r="AK521" s="325"/>
      <c r="AL521" s="49"/>
      <c r="AM521" s="49"/>
      <c r="AN521" s="49"/>
      <c r="AO521" s="49"/>
      <c r="AP521" s="49"/>
      <c r="AR521" s="48"/>
      <c r="AS521" s="81"/>
    </row>
    <row r="522" spans="3:45">
      <c r="S522" s="165"/>
      <c r="W522" s="49"/>
      <c r="X522" s="325"/>
      <c r="Y522" s="49"/>
      <c r="Z522" s="325"/>
      <c r="AA522" s="49"/>
      <c r="AB522" s="325"/>
      <c r="AC522" s="325"/>
      <c r="AD522" s="325"/>
      <c r="AE522" s="325"/>
      <c r="AF522" s="325"/>
      <c r="AG522" s="325"/>
      <c r="AH522" s="325"/>
      <c r="AI522" s="325"/>
      <c r="AJ522" s="49"/>
      <c r="AK522" s="325"/>
      <c r="AL522" s="49"/>
      <c r="AM522" s="49"/>
      <c r="AN522" s="49"/>
      <c r="AO522" s="49"/>
      <c r="AP522" s="49"/>
      <c r="AR522" s="48"/>
      <c r="AS522" s="81"/>
    </row>
    <row r="523" spans="3:45">
      <c r="S523" s="165"/>
      <c r="W523" s="49"/>
      <c r="X523" s="325"/>
      <c r="Y523" s="49"/>
      <c r="Z523" s="325"/>
      <c r="AA523" s="49"/>
      <c r="AB523" s="325"/>
      <c r="AC523" s="325"/>
      <c r="AD523" s="325"/>
      <c r="AE523" s="325"/>
      <c r="AF523" s="325"/>
      <c r="AG523" s="325"/>
      <c r="AH523" s="325"/>
      <c r="AI523" s="325"/>
      <c r="AJ523" s="49"/>
      <c r="AK523" s="325"/>
      <c r="AL523" s="49"/>
      <c r="AM523" s="49"/>
      <c r="AN523" s="49"/>
      <c r="AO523" s="49"/>
      <c r="AP523" s="49"/>
      <c r="AR523" s="48"/>
      <c r="AS523" s="81"/>
    </row>
    <row r="524" spans="3:45">
      <c r="S524" s="165"/>
      <c r="W524" s="49"/>
      <c r="X524" s="325"/>
      <c r="Y524" s="49"/>
      <c r="Z524" s="325"/>
      <c r="AA524" s="49"/>
      <c r="AB524" s="325"/>
      <c r="AC524" s="325"/>
      <c r="AD524" s="325"/>
      <c r="AE524" s="325"/>
      <c r="AF524" s="325"/>
      <c r="AG524" s="325"/>
      <c r="AH524" s="325"/>
      <c r="AI524" s="325"/>
      <c r="AJ524" s="49"/>
      <c r="AK524" s="325"/>
      <c r="AL524" s="49"/>
      <c r="AM524" s="49"/>
      <c r="AN524" s="49"/>
      <c r="AO524" s="49"/>
      <c r="AP524" s="49"/>
      <c r="AR524" s="48"/>
      <c r="AS524" s="81"/>
    </row>
    <row r="525" spans="3:45">
      <c r="S525" s="165"/>
      <c r="W525" s="49"/>
      <c r="X525" s="325"/>
      <c r="Y525" s="49"/>
      <c r="Z525" s="325"/>
      <c r="AA525" s="49"/>
      <c r="AB525" s="325"/>
      <c r="AC525" s="325"/>
      <c r="AD525" s="325"/>
      <c r="AE525" s="325"/>
      <c r="AF525" s="325"/>
      <c r="AG525" s="325"/>
      <c r="AH525" s="325"/>
      <c r="AI525" s="325"/>
      <c r="AJ525" s="49"/>
      <c r="AK525" s="325"/>
      <c r="AL525" s="49"/>
      <c r="AM525" s="49"/>
      <c r="AN525" s="49"/>
      <c r="AO525" s="49"/>
      <c r="AP525" s="49"/>
      <c r="AR525" s="48"/>
      <c r="AS525" s="81"/>
    </row>
    <row r="526" spans="3:45" ht="33" customHeight="1">
      <c r="AR526" s="48"/>
      <c r="AS526" s="81"/>
    </row>
    <row r="527" spans="3:45">
      <c r="AR527" s="48"/>
      <c r="AS527" s="81"/>
    </row>
    <row r="528" spans="3:45" ht="15.6" customHeight="1">
      <c r="AS528" s="81" t="e">
        <f>#REF!-(#REF!+#REF!+#REF!)</f>
        <v>#REF!</v>
      </c>
    </row>
    <row r="529" spans="4:45" ht="14.1" customHeight="1">
      <c r="AS529" s="81" t="e">
        <f>#REF!-(#REF!+#REF!+#REF!)</f>
        <v>#REF!</v>
      </c>
    </row>
    <row r="530" spans="4:45" ht="14.1" customHeight="1">
      <c r="AS530" s="81" t="e">
        <f>#REF!-(#REF!+#REF!+#REF!)</f>
        <v>#REF!</v>
      </c>
    </row>
    <row r="531" spans="4:45">
      <c r="AS531" s="81" t="e">
        <f>#REF!-(#REF!+#REF!+#REF!)</f>
        <v>#REF!</v>
      </c>
    </row>
    <row r="532" spans="4:45">
      <c r="AS532" s="81" t="e">
        <f>#REF!-(#REF!+#REF!+#REF!)</f>
        <v>#REF!</v>
      </c>
    </row>
    <row r="533" spans="4:45">
      <c r="AS533" s="81" t="e">
        <f>#REF!-(#REF!+#REF!+#REF!)</f>
        <v>#REF!</v>
      </c>
    </row>
    <row r="535" spans="4:45" s="72" customFormat="1" ht="38.450000000000003" customHeight="1">
      <c r="D535" s="307"/>
      <c r="E535" s="326"/>
      <c r="F535" s="326"/>
      <c r="G535" s="326"/>
      <c r="H535" s="326"/>
      <c r="I535" s="326"/>
      <c r="J535" s="326"/>
      <c r="K535" s="326"/>
      <c r="L535" s="326"/>
      <c r="M535" s="326"/>
      <c r="X535" s="327"/>
      <c r="Z535" s="327"/>
      <c r="AB535" s="327"/>
      <c r="AC535" s="327"/>
      <c r="AD535" s="327"/>
      <c r="AE535" s="327"/>
      <c r="AF535" s="327"/>
      <c r="AG535" s="327"/>
      <c r="AH535" s="327"/>
      <c r="AI535" s="327"/>
      <c r="AK535" s="327"/>
      <c r="AR535" s="143"/>
      <c r="AS535" s="81"/>
    </row>
    <row r="536" spans="4:45" s="72" customFormat="1" ht="65.45" customHeight="1">
      <c r="D536" s="307"/>
      <c r="E536" s="326"/>
      <c r="F536" s="326"/>
      <c r="G536" s="326"/>
      <c r="H536" s="326"/>
      <c r="I536" s="326"/>
      <c r="J536" s="326"/>
      <c r="K536" s="326"/>
      <c r="L536" s="326"/>
      <c r="M536" s="326"/>
      <c r="X536" s="327"/>
      <c r="Z536" s="327"/>
      <c r="AB536" s="327"/>
      <c r="AC536" s="327"/>
      <c r="AD536" s="327"/>
      <c r="AE536" s="327"/>
      <c r="AF536" s="327"/>
      <c r="AG536" s="327"/>
      <c r="AH536" s="327"/>
      <c r="AI536" s="327"/>
      <c r="AK536" s="327"/>
      <c r="AR536" s="143"/>
      <c r="AS536" s="81"/>
    </row>
    <row r="537" spans="4:45" s="50" customFormat="1" ht="35.1" customHeight="1">
      <c r="D537" s="73"/>
      <c r="E537" s="226"/>
      <c r="F537" s="226"/>
      <c r="G537" s="226"/>
      <c r="H537" s="226"/>
      <c r="I537" s="226"/>
      <c r="J537" s="226"/>
      <c r="K537" s="226"/>
      <c r="L537" s="226"/>
      <c r="M537" s="226"/>
      <c r="X537" s="328"/>
      <c r="Z537" s="328"/>
      <c r="AB537" s="328"/>
      <c r="AC537" s="328"/>
      <c r="AD537" s="328"/>
      <c r="AE537" s="328"/>
      <c r="AF537" s="328"/>
      <c r="AG537" s="328"/>
      <c r="AH537" s="328"/>
      <c r="AI537" s="328"/>
      <c r="AK537" s="328"/>
      <c r="AR537" s="48" t="e">
        <f>#REF!-(#REF!+#REF!+#REF!)</f>
        <v>#REF!</v>
      </c>
      <c r="AS537" s="81" t="e">
        <f>#REF!-(#REF!+#REF!+#REF!)</f>
        <v>#REF!</v>
      </c>
    </row>
    <row r="538" spans="4:45" s="50" customFormat="1" ht="52.5" customHeight="1">
      <c r="D538" s="73"/>
      <c r="E538" s="226"/>
      <c r="F538" s="226"/>
      <c r="G538" s="226"/>
      <c r="H538" s="226"/>
      <c r="I538" s="226"/>
      <c r="J538" s="226"/>
      <c r="K538" s="226"/>
      <c r="L538" s="226"/>
      <c r="M538" s="226"/>
      <c r="X538" s="328"/>
      <c r="Z538" s="328"/>
      <c r="AB538" s="328"/>
      <c r="AC538" s="328"/>
      <c r="AD538" s="328"/>
      <c r="AE538" s="328"/>
      <c r="AF538" s="328"/>
      <c r="AG538" s="328"/>
      <c r="AH538" s="328"/>
      <c r="AI538" s="328"/>
      <c r="AK538" s="328"/>
      <c r="AR538" s="48" t="e">
        <f>#REF!-(#REF!+#REF!+#REF!)</f>
        <v>#REF!</v>
      </c>
      <c r="AS538" s="81" t="e">
        <f>#REF!-(#REF!+#REF!+#REF!)</f>
        <v>#REF!</v>
      </c>
    </row>
    <row r="539" spans="4:45" s="50" customFormat="1" ht="32.450000000000003" customHeight="1">
      <c r="D539" s="73"/>
      <c r="E539" s="226"/>
      <c r="F539" s="226"/>
      <c r="G539" s="226"/>
      <c r="H539" s="226"/>
      <c r="I539" s="226"/>
      <c r="J539" s="226"/>
      <c r="K539" s="226"/>
      <c r="L539" s="226"/>
      <c r="M539" s="226"/>
      <c r="X539" s="328"/>
      <c r="Z539" s="328"/>
      <c r="AB539" s="328"/>
      <c r="AC539" s="328"/>
      <c r="AD539" s="328"/>
      <c r="AE539" s="328"/>
      <c r="AF539" s="328"/>
      <c r="AG539" s="328"/>
      <c r="AH539" s="328"/>
      <c r="AI539" s="328"/>
      <c r="AK539" s="328"/>
      <c r="AR539" s="48" t="e">
        <f>#REF!-(#REF!+#REF!+#REF!)</f>
        <v>#REF!</v>
      </c>
      <c r="AS539" s="81" t="e">
        <f>#REF!-(#REF!+#REF!+#REF!)</f>
        <v>#REF!</v>
      </c>
    </row>
    <row r="540" spans="4:45" s="50" customFormat="1" ht="43.5" customHeight="1">
      <c r="D540" s="73"/>
      <c r="E540" s="226"/>
      <c r="F540" s="226"/>
      <c r="G540" s="226"/>
      <c r="H540" s="226"/>
      <c r="I540" s="226"/>
      <c r="J540" s="226"/>
      <c r="K540" s="226"/>
      <c r="L540" s="226"/>
      <c r="M540" s="226"/>
      <c r="X540" s="328"/>
      <c r="Z540" s="328"/>
      <c r="AB540" s="328"/>
      <c r="AC540" s="328"/>
      <c r="AD540" s="328"/>
      <c r="AE540" s="328"/>
      <c r="AF540" s="328"/>
      <c r="AG540" s="328"/>
      <c r="AH540" s="328"/>
      <c r="AI540" s="328"/>
      <c r="AK540" s="328"/>
      <c r="AR540" s="48" t="e">
        <f>#REF!-(#REF!+#REF!+#REF!)</f>
        <v>#REF!</v>
      </c>
      <c r="AS540" s="81" t="e">
        <f>#REF!-(#REF!+#REF!+#REF!)</f>
        <v>#REF!</v>
      </c>
    </row>
    <row r="541" spans="4:45" s="50" customFormat="1" ht="43.5" customHeight="1">
      <c r="D541" s="73"/>
      <c r="E541" s="226"/>
      <c r="F541" s="226"/>
      <c r="G541" s="226"/>
      <c r="H541" s="226"/>
      <c r="I541" s="226"/>
      <c r="J541" s="226"/>
      <c r="K541" s="226"/>
      <c r="L541" s="226"/>
      <c r="M541" s="226"/>
      <c r="X541" s="328"/>
      <c r="Z541" s="328"/>
      <c r="AB541" s="328"/>
      <c r="AC541" s="328"/>
      <c r="AD541" s="328"/>
      <c r="AE541" s="328"/>
      <c r="AF541" s="328"/>
      <c r="AG541" s="328"/>
      <c r="AH541" s="328"/>
      <c r="AI541" s="328"/>
      <c r="AK541" s="328"/>
      <c r="AR541" s="48" t="e">
        <f>#REF!-(#REF!+#REF!+#REF!)</f>
        <v>#REF!</v>
      </c>
      <c r="AS541" s="81" t="e">
        <f>#REF!-(#REF!+#REF!+#REF!)</f>
        <v>#REF!</v>
      </c>
    </row>
    <row r="542" spans="4:45" s="50" customFormat="1" ht="43.5" customHeight="1">
      <c r="D542" s="73"/>
      <c r="E542" s="226"/>
      <c r="F542" s="226"/>
      <c r="G542" s="226"/>
      <c r="H542" s="226"/>
      <c r="I542" s="226"/>
      <c r="J542" s="226"/>
      <c r="K542" s="226"/>
      <c r="L542" s="226"/>
      <c r="M542" s="226"/>
      <c r="X542" s="328"/>
      <c r="Z542" s="328"/>
      <c r="AB542" s="328"/>
      <c r="AC542" s="328"/>
      <c r="AD542" s="328"/>
      <c r="AE542" s="328"/>
      <c r="AF542" s="328"/>
      <c r="AG542" s="328"/>
      <c r="AH542" s="328"/>
      <c r="AI542" s="328"/>
      <c r="AK542" s="328"/>
      <c r="AR542" s="48"/>
      <c r="AS542" s="81"/>
    </row>
    <row r="543" spans="4:45" s="50" customFormat="1" ht="52.5" customHeight="1">
      <c r="D543" s="73"/>
      <c r="E543" s="226"/>
      <c r="F543" s="226"/>
      <c r="G543" s="226"/>
      <c r="H543" s="226"/>
      <c r="I543" s="226"/>
      <c r="J543" s="226"/>
      <c r="K543" s="226"/>
      <c r="L543" s="226"/>
      <c r="M543" s="226"/>
      <c r="X543" s="328"/>
      <c r="Z543" s="328"/>
      <c r="AB543" s="328"/>
      <c r="AC543" s="328"/>
      <c r="AD543" s="328"/>
      <c r="AE543" s="328"/>
      <c r="AF543" s="328"/>
      <c r="AG543" s="328"/>
      <c r="AH543" s="328"/>
      <c r="AI543" s="328"/>
      <c r="AK543" s="328"/>
      <c r="AR543" s="48" t="e">
        <f>#REF!-(#REF!+#REF!+#REF!)</f>
        <v>#REF!</v>
      </c>
      <c r="AS543" s="81" t="e">
        <f>#REF!-(#REF!+#REF!+#REF!)</f>
        <v>#REF!</v>
      </c>
    </row>
    <row r="544" spans="4:45" s="50" customFormat="1" ht="52.5" customHeight="1">
      <c r="D544" s="73"/>
      <c r="E544" s="226"/>
      <c r="F544" s="226"/>
      <c r="G544" s="226"/>
      <c r="H544" s="226"/>
      <c r="I544" s="226"/>
      <c r="J544" s="226"/>
      <c r="K544" s="226"/>
      <c r="L544" s="226"/>
      <c r="M544" s="226"/>
      <c r="X544" s="328"/>
      <c r="Z544" s="328"/>
      <c r="AB544" s="328"/>
      <c r="AC544" s="328"/>
      <c r="AD544" s="328"/>
      <c r="AE544" s="328"/>
      <c r="AF544" s="328"/>
      <c r="AG544" s="328"/>
      <c r="AH544" s="328"/>
      <c r="AI544" s="328"/>
      <c r="AK544" s="328"/>
      <c r="AR544" s="48"/>
      <c r="AS544" s="81"/>
    </row>
    <row r="545" spans="4:45" s="50" customFormat="1" ht="66.95" customHeight="1">
      <c r="D545" s="73"/>
      <c r="E545" s="226"/>
      <c r="F545" s="226"/>
      <c r="G545" s="226"/>
      <c r="H545" s="226"/>
      <c r="I545" s="226"/>
      <c r="J545" s="226"/>
      <c r="K545" s="226"/>
      <c r="L545" s="226"/>
      <c r="M545" s="226"/>
      <c r="X545" s="328"/>
      <c r="Z545" s="328"/>
      <c r="AB545" s="328"/>
      <c r="AC545" s="328"/>
      <c r="AD545" s="328"/>
      <c r="AE545" s="328"/>
      <c r="AF545" s="328"/>
      <c r="AG545" s="328"/>
      <c r="AH545" s="328"/>
      <c r="AI545" s="328"/>
      <c r="AK545" s="328"/>
      <c r="AR545" s="48" t="e">
        <f>#REF!-(#REF!+#REF!+#REF!)</f>
        <v>#REF!</v>
      </c>
      <c r="AS545" s="81" t="e">
        <f>#REF!-(#REF!+#REF!+#REF!)</f>
        <v>#REF!</v>
      </c>
    </row>
    <row r="546" spans="4:45" s="50" customFormat="1" ht="39" customHeight="1">
      <c r="D546" s="73"/>
      <c r="E546" s="226"/>
      <c r="F546" s="226"/>
      <c r="G546" s="226"/>
      <c r="H546" s="226"/>
      <c r="I546" s="226"/>
      <c r="J546" s="226"/>
      <c r="K546" s="226"/>
      <c r="L546" s="226"/>
      <c r="M546" s="226"/>
      <c r="X546" s="328"/>
      <c r="Z546" s="328"/>
      <c r="AB546" s="328"/>
      <c r="AC546" s="328"/>
      <c r="AD546" s="328"/>
      <c r="AE546" s="328"/>
      <c r="AF546" s="328"/>
      <c r="AG546" s="328"/>
      <c r="AH546" s="328"/>
      <c r="AI546" s="328"/>
      <c r="AK546" s="328"/>
      <c r="AR546" s="48"/>
      <c r="AS546" s="81"/>
    </row>
    <row r="547" spans="4:45" s="50" customFormat="1" ht="46.5" customHeight="1">
      <c r="D547" s="73"/>
      <c r="E547" s="226"/>
      <c r="F547" s="226"/>
      <c r="G547" s="226"/>
      <c r="H547" s="226"/>
      <c r="I547" s="226"/>
      <c r="J547" s="226"/>
      <c r="K547" s="226"/>
      <c r="L547" s="226"/>
      <c r="M547" s="226"/>
      <c r="X547" s="328"/>
      <c r="Z547" s="328"/>
      <c r="AB547" s="328"/>
      <c r="AC547" s="328"/>
      <c r="AD547" s="328"/>
      <c r="AE547" s="328"/>
      <c r="AF547" s="328"/>
      <c r="AG547" s="328"/>
      <c r="AH547" s="328"/>
      <c r="AI547" s="328"/>
      <c r="AK547" s="328"/>
      <c r="AR547" s="48" t="e">
        <f>#REF!-(#REF!+#REF!+#REF!)</f>
        <v>#REF!</v>
      </c>
      <c r="AS547" s="81" t="e">
        <f>#REF!-(#REF!+#REF!+#REF!)</f>
        <v>#REF!</v>
      </c>
    </row>
    <row r="548" spans="4:45" s="50" customFormat="1" ht="46.5" customHeight="1">
      <c r="D548" s="73"/>
      <c r="E548" s="226"/>
      <c r="F548" s="226"/>
      <c r="G548" s="226"/>
      <c r="H548" s="226"/>
      <c r="I548" s="226"/>
      <c r="J548" s="226"/>
      <c r="K548" s="226"/>
      <c r="L548" s="226"/>
      <c r="M548" s="226"/>
      <c r="X548" s="328"/>
      <c r="Z548" s="328"/>
      <c r="AB548" s="328"/>
      <c r="AC548" s="328"/>
      <c r="AD548" s="328"/>
      <c r="AE548" s="328"/>
      <c r="AF548" s="328"/>
      <c r="AG548" s="328"/>
      <c r="AH548" s="328"/>
      <c r="AI548" s="328"/>
      <c r="AK548" s="328"/>
      <c r="AR548" s="48" t="e">
        <f>#REF!-(#REF!+#REF!+#REF!)</f>
        <v>#REF!</v>
      </c>
      <c r="AS548" s="81" t="e">
        <f>#REF!-(#REF!+#REF!+#REF!)</f>
        <v>#REF!</v>
      </c>
    </row>
    <row r="549" spans="4:45" s="50" customFormat="1" ht="46.5" customHeight="1">
      <c r="D549" s="73"/>
      <c r="E549" s="226"/>
      <c r="F549" s="226"/>
      <c r="G549" s="226"/>
      <c r="H549" s="226"/>
      <c r="I549" s="226"/>
      <c r="J549" s="226"/>
      <c r="K549" s="226"/>
      <c r="L549" s="226"/>
      <c r="M549" s="226"/>
      <c r="X549" s="328"/>
      <c r="Z549" s="328"/>
      <c r="AB549" s="328"/>
      <c r="AC549" s="328"/>
      <c r="AD549" s="328"/>
      <c r="AE549" s="328"/>
      <c r="AF549" s="328"/>
      <c r="AG549" s="328"/>
      <c r="AH549" s="328"/>
      <c r="AI549" s="328"/>
      <c r="AK549" s="328"/>
      <c r="AR549" s="48" t="e">
        <f>#REF!-(#REF!+#REF!+#REF!)</f>
        <v>#REF!</v>
      </c>
      <c r="AS549" s="81" t="e">
        <f>#REF!-(#REF!+#REF!+#REF!)</f>
        <v>#REF!</v>
      </c>
    </row>
    <row r="550" spans="4:45" s="50" customFormat="1" ht="46.5" customHeight="1">
      <c r="D550" s="73"/>
      <c r="E550" s="226"/>
      <c r="F550" s="226"/>
      <c r="G550" s="226"/>
      <c r="H550" s="226"/>
      <c r="I550" s="226"/>
      <c r="J550" s="226"/>
      <c r="K550" s="226"/>
      <c r="L550" s="226"/>
      <c r="M550" s="226"/>
      <c r="X550" s="328"/>
      <c r="Z550" s="328"/>
      <c r="AB550" s="328"/>
      <c r="AC550" s="328"/>
      <c r="AD550" s="328"/>
      <c r="AE550" s="328"/>
      <c r="AF550" s="328"/>
      <c r="AG550" s="328"/>
      <c r="AH550" s="328"/>
      <c r="AI550" s="328"/>
      <c r="AK550" s="328"/>
      <c r="AR550" s="48"/>
      <c r="AS550" s="81"/>
    </row>
    <row r="551" spans="4:45" s="50" customFormat="1" ht="43.5" customHeight="1">
      <c r="D551" s="73"/>
      <c r="E551" s="226"/>
      <c r="F551" s="226"/>
      <c r="G551" s="226"/>
      <c r="H551" s="226"/>
      <c r="I551" s="226"/>
      <c r="J551" s="226"/>
      <c r="K551" s="226"/>
      <c r="L551" s="226"/>
      <c r="M551" s="226"/>
      <c r="X551" s="328"/>
      <c r="Z551" s="328"/>
      <c r="AB551" s="328"/>
      <c r="AC551" s="328"/>
      <c r="AD551" s="328"/>
      <c r="AE551" s="328"/>
      <c r="AF551" s="328"/>
      <c r="AG551" s="328"/>
      <c r="AH551" s="328"/>
      <c r="AI551" s="328"/>
      <c r="AK551" s="328"/>
      <c r="AR551" s="48" t="e">
        <f>#REF!-(#REF!+#REF!+#REF!)</f>
        <v>#REF!</v>
      </c>
      <c r="AS551" s="81" t="e">
        <f>#REF!-(#REF!+#REF!+#REF!)</f>
        <v>#REF!</v>
      </c>
    </row>
    <row r="552" spans="4:45" s="50" customFormat="1" ht="43.5" customHeight="1">
      <c r="D552" s="73"/>
      <c r="E552" s="226"/>
      <c r="F552" s="226"/>
      <c r="G552" s="226"/>
      <c r="H552" s="226"/>
      <c r="I552" s="226"/>
      <c r="J552" s="226"/>
      <c r="K552" s="226"/>
      <c r="L552" s="226"/>
      <c r="M552" s="226"/>
      <c r="X552" s="328"/>
      <c r="Z552" s="328"/>
      <c r="AB552" s="328"/>
      <c r="AC552" s="328"/>
      <c r="AD552" s="328"/>
      <c r="AE552" s="328"/>
      <c r="AF552" s="328"/>
      <c r="AG552" s="328"/>
      <c r="AH552" s="328"/>
      <c r="AI552" s="328"/>
      <c r="AK552" s="328"/>
      <c r="AR552" s="48"/>
      <c r="AS552" s="81"/>
    </row>
    <row r="553" spans="4:45" s="50" customFormat="1" ht="75.599999999999994" customHeight="1">
      <c r="D553" s="73"/>
      <c r="E553" s="226"/>
      <c r="F553" s="226"/>
      <c r="G553" s="226"/>
      <c r="H553" s="226"/>
      <c r="I553" s="226"/>
      <c r="J553" s="226"/>
      <c r="K553" s="226"/>
      <c r="L553" s="226"/>
      <c r="M553" s="226"/>
      <c r="X553" s="328"/>
      <c r="Z553" s="328"/>
      <c r="AB553" s="328"/>
      <c r="AC553" s="328"/>
      <c r="AD553" s="328"/>
      <c r="AE553" s="328"/>
      <c r="AF553" s="328"/>
      <c r="AG553" s="328"/>
      <c r="AH553" s="328"/>
      <c r="AI553" s="328"/>
      <c r="AK553" s="328"/>
      <c r="AR553" s="48" t="e">
        <f>#REF!-(#REF!+#REF!+#REF!)</f>
        <v>#REF!</v>
      </c>
      <c r="AS553" s="81" t="e">
        <f>#REF!-(#REF!+#REF!+#REF!)</f>
        <v>#REF!</v>
      </c>
    </row>
    <row r="554" spans="4:45" s="50" customFormat="1" ht="72.599999999999994" customHeight="1">
      <c r="D554" s="73"/>
      <c r="E554" s="226"/>
      <c r="F554" s="226"/>
      <c r="G554" s="226"/>
      <c r="H554" s="226"/>
      <c r="I554" s="226"/>
      <c r="J554" s="226"/>
      <c r="K554" s="226"/>
      <c r="L554" s="226"/>
      <c r="M554" s="226"/>
      <c r="X554" s="328"/>
      <c r="Z554" s="328"/>
      <c r="AB554" s="328"/>
      <c r="AC554" s="328"/>
      <c r="AD554" s="328"/>
      <c r="AE554" s="328"/>
      <c r="AF554" s="328"/>
      <c r="AG554" s="328"/>
      <c r="AH554" s="328"/>
      <c r="AI554" s="328"/>
      <c r="AK554" s="328"/>
      <c r="AR554" s="48" t="e">
        <f>#REF!-(#REF!+#REF!+#REF!)</f>
        <v>#REF!</v>
      </c>
      <c r="AS554" s="81" t="e">
        <f>#REF!-(#REF!+#REF!+#REF!)</f>
        <v>#REF!</v>
      </c>
    </row>
    <row r="555" spans="4:45" s="50" customFormat="1" ht="21.6" customHeight="1">
      <c r="D555" s="73"/>
      <c r="E555" s="226"/>
      <c r="F555" s="226"/>
      <c r="G555" s="226"/>
      <c r="H555" s="226"/>
      <c r="I555" s="226"/>
      <c r="J555" s="226"/>
      <c r="K555" s="226"/>
      <c r="L555" s="226"/>
      <c r="M555" s="226"/>
      <c r="X555" s="328"/>
      <c r="Z555" s="328"/>
      <c r="AB555" s="328"/>
      <c r="AC555" s="328"/>
      <c r="AD555" s="328"/>
      <c r="AE555" s="328"/>
      <c r="AF555" s="328"/>
      <c r="AG555" s="328"/>
      <c r="AH555" s="328"/>
      <c r="AI555" s="328"/>
      <c r="AK555" s="328"/>
      <c r="AR555" s="48"/>
      <c r="AS555" s="81"/>
    </row>
    <row r="556" spans="4:45" s="50" customFormat="1" ht="47.1" customHeight="1">
      <c r="D556" s="73"/>
      <c r="E556" s="226"/>
      <c r="F556" s="226"/>
      <c r="G556" s="226"/>
      <c r="H556" s="226"/>
      <c r="I556" s="226"/>
      <c r="J556" s="226"/>
      <c r="K556" s="226"/>
      <c r="L556" s="226"/>
      <c r="M556" s="226"/>
      <c r="X556" s="328"/>
      <c r="Z556" s="328"/>
      <c r="AB556" s="328"/>
      <c r="AC556" s="328"/>
      <c r="AD556" s="328"/>
      <c r="AE556" s="328"/>
      <c r="AF556" s="328"/>
      <c r="AG556" s="328"/>
      <c r="AH556" s="328"/>
      <c r="AI556" s="328"/>
      <c r="AK556" s="328"/>
      <c r="AR556" s="48" t="e">
        <f>#REF!-(#REF!+#REF!+#REF!)</f>
        <v>#REF!</v>
      </c>
      <c r="AS556" s="81" t="e">
        <f>#REF!-(#REF!+#REF!+#REF!)</f>
        <v>#REF!</v>
      </c>
    </row>
    <row r="557" spans="4:45" s="50" customFormat="1" ht="50.1" customHeight="1">
      <c r="D557" s="73"/>
      <c r="E557" s="226"/>
      <c r="F557" s="226"/>
      <c r="G557" s="226"/>
      <c r="H557" s="226"/>
      <c r="I557" s="226"/>
      <c r="J557" s="226"/>
      <c r="K557" s="226"/>
      <c r="L557" s="226"/>
      <c r="M557" s="226"/>
      <c r="X557" s="328"/>
      <c r="Z557" s="328"/>
      <c r="AB557" s="328"/>
      <c r="AC557" s="328"/>
      <c r="AD557" s="328"/>
      <c r="AE557" s="328"/>
      <c r="AF557" s="328"/>
      <c r="AG557" s="328"/>
      <c r="AH557" s="328"/>
      <c r="AI557" s="328"/>
      <c r="AK557" s="328"/>
      <c r="AR557" s="48" t="e">
        <f>#REF!-(#REF!+#REF!+#REF!)</f>
        <v>#REF!</v>
      </c>
      <c r="AS557" s="81" t="e">
        <f>#REF!-(#REF!+#REF!+#REF!)</f>
        <v>#REF!</v>
      </c>
    </row>
    <row r="558" spans="4:45" s="72" customFormat="1" ht="72.599999999999994" customHeight="1">
      <c r="D558" s="307"/>
      <c r="E558" s="326"/>
      <c r="F558" s="326"/>
      <c r="G558" s="326"/>
      <c r="H558" s="326"/>
      <c r="I558" s="326"/>
      <c r="J558" s="326"/>
      <c r="K558" s="326"/>
      <c r="L558" s="326"/>
      <c r="M558" s="326"/>
      <c r="X558" s="327"/>
      <c r="Z558" s="327"/>
      <c r="AB558" s="327"/>
      <c r="AC558" s="327"/>
      <c r="AD558" s="327"/>
      <c r="AE558" s="327"/>
      <c r="AF558" s="327"/>
      <c r="AG558" s="327"/>
      <c r="AH558" s="327"/>
      <c r="AI558" s="327"/>
      <c r="AK558" s="327"/>
      <c r="AR558" s="143"/>
      <c r="AS558" s="81"/>
    </row>
    <row r="559" spans="4:45" s="50" customFormat="1" ht="42.6" customHeight="1">
      <c r="D559" s="73"/>
      <c r="E559" s="226"/>
      <c r="F559" s="226"/>
      <c r="G559" s="226"/>
      <c r="H559" s="226"/>
      <c r="I559" s="226"/>
      <c r="J559" s="226"/>
      <c r="K559" s="226"/>
      <c r="L559" s="226"/>
      <c r="M559" s="226"/>
      <c r="X559" s="328"/>
      <c r="Z559" s="328"/>
      <c r="AB559" s="328"/>
      <c r="AC559" s="328"/>
      <c r="AD559" s="328"/>
      <c r="AE559" s="328"/>
      <c r="AF559" s="328"/>
      <c r="AG559" s="328"/>
      <c r="AH559" s="328"/>
      <c r="AI559" s="328"/>
      <c r="AK559" s="328"/>
      <c r="AR559" s="48" t="e">
        <f>#REF!-(#REF!+#REF!+#REF!)</f>
        <v>#REF!</v>
      </c>
      <c r="AS559" s="81" t="e">
        <f>#REF!-(#REF!+#REF!+#REF!)</f>
        <v>#REF!</v>
      </c>
    </row>
    <row r="560" spans="4:45" s="50" customFormat="1" ht="42.6" customHeight="1">
      <c r="D560" s="73"/>
      <c r="E560" s="226"/>
      <c r="F560" s="226"/>
      <c r="G560" s="226"/>
      <c r="H560" s="226"/>
      <c r="I560" s="226"/>
      <c r="J560" s="226"/>
      <c r="K560" s="226"/>
      <c r="L560" s="226"/>
      <c r="M560" s="226"/>
      <c r="X560" s="328"/>
      <c r="Z560" s="328"/>
      <c r="AB560" s="328"/>
      <c r="AC560" s="328"/>
      <c r="AD560" s="328"/>
      <c r="AE560" s="328"/>
      <c r="AF560" s="328"/>
      <c r="AG560" s="328"/>
      <c r="AH560" s="328"/>
      <c r="AI560" s="328"/>
      <c r="AK560" s="328"/>
      <c r="AR560" s="48" t="e">
        <f>#REF!-(#REF!+#REF!+#REF!)</f>
        <v>#REF!</v>
      </c>
      <c r="AS560" s="81" t="e">
        <f>#REF!-(#REF!+#REF!+#REF!)</f>
        <v>#REF!</v>
      </c>
    </row>
    <row r="561" spans="4:45" s="50" customFormat="1" ht="53.1" customHeight="1">
      <c r="D561" s="73"/>
      <c r="E561" s="226"/>
      <c r="F561" s="226"/>
      <c r="G561" s="226"/>
      <c r="H561" s="226"/>
      <c r="I561" s="226"/>
      <c r="J561" s="226"/>
      <c r="K561" s="226"/>
      <c r="L561" s="226"/>
      <c r="M561" s="226"/>
      <c r="X561" s="328"/>
      <c r="Z561" s="328"/>
      <c r="AB561" s="328"/>
      <c r="AC561" s="328"/>
      <c r="AD561" s="328"/>
      <c r="AE561" s="328"/>
      <c r="AF561" s="328"/>
      <c r="AG561" s="328"/>
      <c r="AH561" s="328"/>
      <c r="AI561" s="328"/>
      <c r="AK561" s="328"/>
      <c r="AR561" s="48" t="e">
        <f>#REF!-(#REF!+#REF!+#REF!)</f>
        <v>#REF!</v>
      </c>
      <c r="AS561" s="81" t="e">
        <f>#REF!-(#REF!+#REF!+#REF!)</f>
        <v>#REF!</v>
      </c>
    </row>
    <row r="562" spans="4:45" s="72" customFormat="1" ht="24.95" customHeight="1">
      <c r="D562" s="307"/>
      <c r="E562" s="326"/>
      <c r="F562" s="326"/>
      <c r="G562" s="326"/>
      <c r="H562" s="326"/>
      <c r="I562" s="326"/>
      <c r="J562" s="326"/>
      <c r="K562" s="326"/>
      <c r="L562" s="326"/>
      <c r="M562" s="326"/>
      <c r="X562" s="327"/>
      <c r="Z562" s="327"/>
      <c r="AB562" s="327"/>
      <c r="AC562" s="327"/>
      <c r="AD562" s="327"/>
      <c r="AE562" s="327"/>
      <c r="AF562" s="327"/>
      <c r="AG562" s="327"/>
      <c r="AH562" s="327"/>
      <c r="AI562" s="327"/>
      <c r="AK562" s="327"/>
      <c r="AR562" s="143"/>
      <c r="AS562" s="81"/>
    </row>
    <row r="563" spans="4:45" s="50" customFormat="1" ht="48" customHeight="1">
      <c r="D563" s="73"/>
      <c r="E563" s="226"/>
      <c r="F563" s="226"/>
      <c r="G563" s="226"/>
      <c r="H563" s="226"/>
      <c r="I563" s="226"/>
      <c r="J563" s="226"/>
      <c r="K563" s="226"/>
      <c r="L563" s="226"/>
      <c r="M563" s="226"/>
      <c r="X563" s="328"/>
      <c r="Z563" s="328"/>
      <c r="AB563" s="328"/>
      <c r="AC563" s="328"/>
      <c r="AD563" s="328"/>
      <c r="AE563" s="328"/>
      <c r="AF563" s="328"/>
      <c r="AG563" s="328"/>
      <c r="AH563" s="328"/>
      <c r="AI563" s="328"/>
      <c r="AK563" s="328"/>
      <c r="AR563" s="48" t="e">
        <f>#REF!-(#REF!+#REF!+#REF!)</f>
        <v>#REF!</v>
      </c>
      <c r="AS563" s="81" t="e">
        <f>#REF!-(#REF!+#REF!+#REF!)</f>
        <v>#REF!</v>
      </c>
    </row>
    <row r="564" spans="4:45" s="50" customFormat="1" ht="46.5" customHeight="1">
      <c r="D564" s="73"/>
      <c r="E564" s="226"/>
      <c r="F564" s="226"/>
      <c r="G564" s="226"/>
      <c r="H564" s="226"/>
      <c r="I564" s="226"/>
      <c r="J564" s="226"/>
      <c r="K564" s="226"/>
      <c r="L564" s="226"/>
      <c r="M564" s="226"/>
      <c r="X564" s="328"/>
      <c r="Z564" s="328"/>
      <c r="AB564" s="328"/>
      <c r="AC564" s="328"/>
      <c r="AD564" s="328"/>
      <c r="AE564" s="328"/>
      <c r="AF564" s="328"/>
      <c r="AG564" s="328"/>
      <c r="AH564" s="328"/>
      <c r="AI564" s="328"/>
      <c r="AK564" s="328"/>
      <c r="AR564" s="48" t="e">
        <f>#REF!-(#REF!+#REF!+#REF!)</f>
        <v>#REF!</v>
      </c>
      <c r="AS564" s="81" t="e">
        <f>#REF!-(#REF!+#REF!+#REF!)</f>
        <v>#REF!</v>
      </c>
    </row>
    <row r="565" spans="4:45" s="72" customFormat="1" ht="21.6" customHeight="1">
      <c r="D565" s="307"/>
      <c r="E565" s="326"/>
      <c r="F565" s="326"/>
      <c r="G565" s="326"/>
      <c r="H565" s="326"/>
      <c r="I565" s="326"/>
      <c r="J565" s="326"/>
      <c r="K565" s="326"/>
      <c r="L565" s="326"/>
      <c r="M565" s="326"/>
      <c r="X565" s="327"/>
      <c r="Z565" s="327"/>
      <c r="AB565" s="327"/>
      <c r="AC565" s="327"/>
      <c r="AD565" s="327"/>
      <c r="AE565" s="327"/>
      <c r="AF565" s="327"/>
      <c r="AG565" s="327"/>
      <c r="AH565" s="327"/>
      <c r="AI565" s="327"/>
      <c r="AK565" s="327"/>
      <c r="AR565" s="143"/>
      <c r="AS565" s="81"/>
    </row>
    <row r="566" spans="4:45" s="50" customFormat="1" ht="54" customHeight="1">
      <c r="D566" s="73"/>
      <c r="E566" s="226"/>
      <c r="F566" s="226"/>
      <c r="G566" s="226"/>
      <c r="H566" s="226"/>
      <c r="I566" s="226"/>
      <c r="J566" s="226"/>
      <c r="K566" s="226"/>
      <c r="L566" s="226"/>
      <c r="M566" s="226"/>
      <c r="X566" s="328"/>
      <c r="Z566" s="328"/>
      <c r="AB566" s="328"/>
      <c r="AC566" s="328"/>
      <c r="AD566" s="328"/>
      <c r="AE566" s="328"/>
      <c r="AF566" s="328"/>
      <c r="AG566" s="328"/>
      <c r="AH566" s="328"/>
      <c r="AI566" s="328"/>
      <c r="AK566" s="328"/>
      <c r="AR566" s="48" t="e">
        <f>#REF!-(#REF!+#REF!+#REF!)</f>
        <v>#REF!</v>
      </c>
      <c r="AS566" s="81" t="e">
        <f>#REF!-(#REF!+#REF!+#REF!)</f>
        <v>#REF!</v>
      </c>
    </row>
    <row r="567" spans="4:45" s="50" customFormat="1" ht="46.5" customHeight="1">
      <c r="D567" s="73"/>
      <c r="E567" s="226"/>
      <c r="F567" s="226"/>
      <c r="G567" s="226"/>
      <c r="H567" s="226"/>
      <c r="I567" s="226"/>
      <c r="J567" s="226"/>
      <c r="K567" s="226"/>
      <c r="L567" s="226"/>
      <c r="M567" s="226"/>
      <c r="X567" s="328"/>
      <c r="Z567" s="328"/>
      <c r="AB567" s="328"/>
      <c r="AC567" s="328"/>
      <c r="AD567" s="328"/>
      <c r="AE567" s="328"/>
      <c r="AF567" s="328"/>
      <c r="AG567" s="328"/>
      <c r="AH567" s="328"/>
      <c r="AI567" s="328"/>
      <c r="AK567" s="328"/>
      <c r="AR567" s="48" t="e">
        <f>#REF!-(#REF!+#REF!+#REF!)</f>
        <v>#REF!</v>
      </c>
      <c r="AS567" s="81" t="e">
        <f>#REF!-(#REF!+#REF!+#REF!)</f>
        <v>#REF!</v>
      </c>
    </row>
    <row r="568" spans="4:45" s="72" customFormat="1" ht="21.6" customHeight="1">
      <c r="D568" s="307"/>
      <c r="E568" s="326"/>
      <c r="F568" s="326"/>
      <c r="G568" s="326"/>
      <c r="H568" s="326"/>
      <c r="I568" s="326"/>
      <c r="J568" s="326"/>
      <c r="K568" s="326"/>
      <c r="L568" s="326"/>
      <c r="M568" s="326"/>
      <c r="X568" s="327"/>
      <c r="Z568" s="327"/>
      <c r="AB568" s="327"/>
      <c r="AC568" s="327"/>
      <c r="AD568" s="327"/>
      <c r="AE568" s="327"/>
      <c r="AF568" s="327"/>
      <c r="AG568" s="327"/>
      <c r="AH568" s="327"/>
      <c r="AI568" s="327"/>
      <c r="AK568" s="327"/>
      <c r="AR568" s="143"/>
      <c r="AS568" s="81"/>
    </row>
    <row r="569" spans="4:45" s="50" customFormat="1" ht="44.1" customHeight="1">
      <c r="D569" s="73"/>
      <c r="E569" s="226"/>
      <c r="F569" s="226"/>
      <c r="G569" s="226"/>
      <c r="H569" s="226"/>
      <c r="I569" s="226"/>
      <c r="J569" s="226"/>
      <c r="K569" s="226"/>
      <c r="L569" s="226"/>
      <c r="M569" s="226"/>
      <c r="X569" s="328"/>
      <c r="Z569" s="328"/>
      <c r="AB569" s="328"/>
      <c r="AC569" s="328"/>
      <c r="AD569" s="328"/>
      <c r="AE569" s="328"/>
      <c r="AF569" s="328"/>
      <c r="AG569" s="328"/>
      <c r="AH569" s="328"/>
      <c r="AI569" s="328"/>
      <c r="AK569" s="328"/>
      <c r="AR569" s="48" t="e">
        <f>#REF!-(#REF!+#REF!+#REF!)</f>
        <v>#REF!</v>
      </c>
      <c r="AS569" s="81" t="e">
        <f>#REF!-(#REF!+#REF!+#REF!)</f>
        <v>#REF!</v>
      </c>
    </row>
    <row r="570" spans="4:45" s="50" customFormat="1" ht="45.95" customHeight="1">
      <c r="D570" s="73"/>
      <c r="E570" s="226"/>
      <c r="F570" s="226"/>
      <c r="G570" s="226"/>
      <c r="H570" s="226"/>
      <c r="I570" s="226"/>
      <c r="J570" s="226"/>
      <c r="K570" s="226"/>
      <c r="L570" s="226"/>
      <c r="M570" s="226"/>
      <c r="X570" s="328"/>
      <c r="Z570" s="328"/>
      <c r="AB570" s="328"/>
      <c r="AC570" s="328"/>
      <c r="AD570" s="328"/>
      <c r="AE570" s="328"/>
      <c r="AF570" s="328"/>
      <c r="AG570" s="328"/>
      <c r="AH570" s="328"/>
      <c r="AI570" s="328"/>
      <c r="AK570" s="328"/>
      <c r="AR570" s="48" t="e">
        <f>#REF!-(#REF!+#REF!+#REF!)</f>
        <v>#REF!</v>
      </c>
      <c r="AS570" s="81" t="e">
        <f>#REF!-(#REF!+#REF!+#REF!)</f>
        <v>#REF!</v>
      </c>
    </row>
    <row r="571" spans="4:45" s="72" customFormat="1" ht="74.099999999999994" customHeight="1">
      <c r="D571" s="307"/>
      <c r="E571" s="326"/>
      <c r="F571" s="326"/>
      <c r="G571" s="326"/>
      <c r="H571" s="326"/>
      <c r="I571" s="326"/>
      <c r="J571" s="326"/>
      <c r="K571" s="326"/>
      <c r="L571" s="326"/>
      <c r="M571" s="326"/>
      <c r="X571" s="327"/>
      <c r="Z571" s="327"/>
      <c r="AB571" s="327"/>
      <c r="AC571" s="327"/>
      <c r="AD571" s="327"/>
      <c r="AE571" s="327"/>
      <c r="AF571" s="327"/>
      <c r="AG571" s="327"/>
      <c r="AH571" s="327"/>
      <c r="AI571" s="327"/>
      <c r="AK571" s="327"/>
      <c r="AR571" s="143"/>
      <c r="AS571" s="81"/>
    </row>
    <row r="572" spans="4:45" s="50" customFormat="1" ht="45.6" customHeight="1">
      <c r="D572" s="73"/>
      <c r="E572" s="226"/>
      <c r="F572" s="226"/>
      <c r="G572" s="226"/>
      <c r="H572" s="226"/>
      <c r="I572" s="226"/>
      <c r="J572" s="226"/>
      <c r="K572" s="226"/>
      <c r="L572" s="226"/>
      <c r="M572" s="226"/>
      <c r="X572" s="328"/>
      <c r="Z572" s="328"/>
      <c r="AB572" s="328"/>
      <c r="AC572" s="328"/>
      <c r="AD572" s="328"/>
      <c r="AE572" s="328"/>
      <c r="AF572" s="328"/>
      <c r="AG572" s="328"/>
      <c r="AH572" s="328"/>
      <c r="AI572" s="328"/>
      <c r="AK572" s="328"/>
      <c r="AR572" s="48" t="e">
        <f>#REF!-(#REF!+#REF!+#REF!)</f>
        <v>#REF!</v>
      </c>
      <c r="AS572" s="81" t="e">
        <f>#REF!-(#REF!+#REF!+#REF!)</f>
        <v>#REF!</v>
      </c>
    </row>
    <row r="573" spans="4:45" s="50" customFormat="1" ht="45.6" customHeight="1">
      <c r="D573" s="73"/>
      <c r="E573" s="226"/>
      <c r="F573" s="226"/>
      <c r="G573" s="226"/>
      <c r="H573" s="226"/>
      <c r="I573" s="226"/>
      <c r="J573" s="226"/>
      <c r="K573" s="226"/>
      <c r="L573" s="226"/>
      <c r="M573" s="226"/>
      <c r="X573" s="328"/>
      <c r="Z573" s="328"/>
      <c r="AB573" s="328"/>
      <c r="AC573" s="328"/>
      <c r="AD573" s="328"/>
      <c r="AE573" s="328"/>
      <c r="AF573" s="328"/>
      <c r="AG573" s="328"/>
      <c r="AH573" s="328"/>
      <c r="AI573" s="328"/>
      <c r="AK573" s="328"/>
      <c r="AR573" s="48" t="e">
        <f>#REF!-(#REF!+#REF!+#REF!)</f>
        <v>#REF!</v>
      </c>
      <c r="AS573" s="81" t="e">
        <f>#REF!-(#REF!+#REF!+#REF!)</f>
        <v>#REF!</v>
      </c>
    </row>
    <row r="574" spans="4:45" s="50" customFormat="1" ht="53.45" customHeight="1">
      <c r="D574" s="73"/>
      <c r="E574" s="226"/>
      <c r="F574" s="226"/>
      <c r="G574" s="226"/>
      <c r="H574" s="226"/>
      <c r="I574" s="226"/>
      <c r="J574" s="226"/>
      <c r="K574" s="226"/>
      <c r="L574" s="226"/>
      <c r="M574" s="226"/>
      <c r="X574" s="328"/>
      <c r="Z574" s="328"/>
      <c r="AB574" s="328"/>
      <c r="AC574" s="328"/>
      <c r="AD574" s="328"/>
      <c r="AE574" s="328"/>
      <c r="AF574" s="328"/>
      <c r="AG574" s="328"/>
      <c r="AH574" s="328"/>
      <c r="AI574" s="328"/>
      <c r="AK574" s="328"/>
      <c r="AR574" s="48" t="e">
        <f>#REF!-(#REF!+#REF!+#REF!)</f>
        <v>#REF!</v>
      </c>
      <c r="AS574" s="81" t="e">
        <f>#REF!-(#REF!+#REF!+#REF!)</f>
        <v>#REF!</v>
      </c>
    </row>
    <row r="575" spans="4:45" s="50" customFormat="1" ht="50.1" customHeight="1">
      <c r="D575" s="73"/>
      <c r="E575" s="226"/>
      <c r="F575" s="226"/>
      <c r="G575" s="226"/>
      <c r="H575" s="226"/>
      <c r="I575" s="226"/>
      <c r="J575" s="226"/>
      <c r="K575" s="226"/>
      <c r="L575" s="226"/>
      <c r="M575" s="226"/>
      <c r="X575" s="328"/>
      <c r="Z575" s="328"/>
      <c r="AB575" s="328"/>
      <c r="AC575" s="328"/>
      <c r="AD575" s="328"/>
      <c r="AE575" s="328"/>
      <c r="AF575" s="328"/>
      <c r="AG575" s="328"/>
      <c r="AH575" s="328"/>
      <c r="AI575" s="328"/>
      <c r="AK575" s="328"/>
      <c r="AR575" s="48" t="e">
        <f>#REF!-(#REF!+#REF!+#REF!)</f>
        <v>#REF!</v>
      </c>
      <c r="AS575" s="81" t="e">
        <f>#REF!-(#REF!+#REF!+#REF!)</f>
        <v>#REF!</v>
      </c>
    </row>
    <row r="576" spans="4:45" s="50" customFormat="1" ht="64.5" customHeight="1">
      <c r="D576" s="73"/>
      <c r="E576" s="226"/>
      <c r="F576" s="226"/>
      <c r="G576" s="226"/>
      <c r="H576" s="226"/>
      <c r="I576" s="226"/>
      <c r="J576" s="226"/>
      <c r="K576" s="226"/>
      <c r="L576" s="226"/>
      <c r="M576" s="226"/>
      <c r="X576" s="328"/>
      <c r="Z576" s="328"/>
      <c r="AB576" s="328"/>
      <c r="AC576" s="328"/>
      <c r="AD576" s="328"/>
      <c r="AE576" s="328"/>
      <c r="AF576" s="328"/>
      <c r="AG576" s="328"/>
      <c r="AH576" s="328"/>
      <c r="AI576" s="328"/>
      <c r="AK576" s="328"/>
      <c r="AR576" s="48" t="e">
        <f>#REF!-(#REF!+#REF!+#REF!)</f>
        <v>#REF!</v>
      </c>
      <c r="AS576" s="81" t="e">
        <f>#REF!-(#REF!+#REF!+#REF!)</f>
        <v>#REF!</v>
      </c>
    </row>
    <row r="577" spans="4:45" s="50" customFormat="1" ht="78" customHeight="1">
      <c r="D577" s="73"/>
      <c r="E577" s="226"/>
      <c r="F577" s="226"/>
      <c r="G577" s="226"/>
      <c r="H577" s="226"/>
      <c r="I577" s="226"/>
      <c r="J577" s="226"/>
      <c r="K577" s="226"/>
      <c r="L577" s="226"/>
      <c r="M577" s="226"/>
      <c r="X577" s="328"/>
      <c r="Z577" s="328"/>
      <c r="AB577" s="328"/>
      <c r="AC577" s="328"/>
      <c r="AD577" s="328"/>
      <c r="AE577" s="328"/>
      <c r="AF577" s="328"/>
      <c r="AG577" s="328"/>
      <c r="AH577" s="328"/>
      <c r="AI577" s="328"/>
      <c r="AK577" s="328"/>
      <c r="AR577" s="48"/>
      <c r="AS577" s="81"/>
    </row>
    <row r="578" spans="4:45" s="50" customFormat="1" ht="63.6" customHeight="1">
      <c r="D578" s="73"/>
      <c r="E578" s="226"/>
      <c r="F578" s="226"/>
      <c r="G578" s="226"/>
      <c r="H578" s="226"/>
      <c r="I578" s="226"/>
      <c r="J578" s="226"/>
      <c r="K578" s="226"/>
      <c r="L578" s="226"/>
      <c r="M578" s="226"/>
      <c r="X578" s="328"/>
      <c r="Z578" s="328"/>
      <c r="AB578" s="328"/>
      <c r="AC578" s="328"/>
      <c r="AD578" s="328"/>
      <c r="AE578" s="328"/>
      <c r="AF578" s="328"/>
      <c r="AG578" s="328"/>
      <c r="AH578" s="328"/>
      <c r="AI578" s="328"/>
      <c r="AK578" s="328"/>
      <c r="AR578" s="48"/>
      <c r="AS578" s="81"/>
    </row>
    <row r="579" spans="4:45" s="50" customFormat="1" ht="47.1" customHeight="1">
      <c r="D579" s="73"/>
      <c r="E579" s="226"/>
      <c r="F579" s="226"/>
      <c r="G579" s="226"/>
      <c r="H579" s="226"/>
      <c r="I579" s="226"/>
      <c r="J579" s="226"/>
      <c r="K579" s="226"/>
      <c r="L579" s="226"/>
      <c r="M579" s="226"/>
      <c r="X579" s="328"/>
      <c r="Z579" s="328"/>
      <c r="AB579" s="328"/>
      <c r="AC579" s="328"/>
      <c r="AD579" s="328"/>
      <c r="AE579" s="328"/>
      <c r="AF579" s="328"/>
      <c r="AG579" s="328"/>
      <c r="AH579" s="328"/>
      <c r="AI579" s="328"/>
      <c r="AK579" s="328"/>
      <c r="AR579" s="49" t="e">
        <f>#REF!-(#REF!+#REF!+#REF!)</f>
        <v>#REF!</v>
      </c>
      <c r="AS579" s="81" t="e">
        <f>#REF!-(#REF!+#REF!+#REF!)</f>
        <v>#REF!</v>
      </c>
    </row>
    <row r="580" spans="4:45" s="50" customFormat="1" ht="47.1" customHeight="1">
      <c r="D580" s="73"/>
      <c r="E580" s="226"/>
      <c r="F580" s="226"/>
      <c r="G580" s="226"/>
      <c r="H580" s="226"/>
      <c r="I580" s="226"/>
      <c r="J580" s="226"/>
      <c r="K580" s="226"/>
      <c r="L580" s="226"/>
      <c r="M580" s="226"/>
      <c r="X580" s="328"/>
      <c r="Z580" s="328"/>
      <c r="AB580" s="328"/>
      <c r="AC580" s="328"/>
      <c r="AD580" s="328"/>
      <c r="AE580" s="328"/>
      <c r="AF580" s="328"/>
      <c r="AG580" s="328"/>
      <c r="AH580" s="328"/>
      <c r="AI580" s="328"/>
      <c r="AK580" s="328"/>
      <c r="AR580" s="49" t="e">
        <f>#REF!-(#REF!+#REF!+#REF!)</f>
        <v>#REF!</v>
      </c>
      <c r="AS580" s="81" t="e">
        <f>#REF!-(#REF!+#REF!+#REF!)</f>
        <v>#REF!</v>
      </c>
    </row>
    <row r="581" spans="4:45" s="50" customFormat="1" ht="44.45" customHeight="1">
      <c r="D581" s="73"/>
      <c r="E581" s="226"/>
      <c r="F581" s="226"/>
      <c r="G581" s="226"/>
      <c r="H581" s="226"/>
      <c r="I581" s="226"/>
      <c r="J581" s="226"/>
      <c r="K581" s="226"/>
      <c r="L581" s="226"/>
      <c r="M581" s="226"/>
      <c r="X581" s="328"/>
      <c r="Z581" s="328"/>
      <c r="AB581" s="328"/>
      <c r="AC581" s="328"/>
      <c r="AD581" s="328"/>
      <c r="AE581" s="328"/>
      <c r="AF581" s="328"/>
      <c r="AG581" s="328"/>
      <c r="AH581" s="328"/>
      <c r="AI581" s="328"/>
      <c r="AK581" s="328"/>
      <c r="AR581" s="48" t="e">
        <f>#REF!-(#REF!+#REF!+#REF!)</f>
        <v>#REF!</v>
      </c>
      <c r="AS581" s="81" t="e">
        <f>#REF!-(#REF!+#REF!+#REF!)</f>
        <v>#REF!</v>
      </c>
    </row>
    <row r="582" spans="4:45" s="50" customFormat="1" ht="44.45" customHeight="1">
      <c r="D582" s="73"/>
      <c r="E582" s="226"/>
      <c r="F582" s="226"/>
      <c r="G582" s="226"/>
      <c r="H582" s="226"/>
      <c r="I582" s="226"/>
      <c r="J582" s="226"/>
      <c r="K582" s="226"/>
      <c r="L582" s="226"/>
      <c r="M582" s="226"/>
      <c r="X582" s="328"/>
      <c r="Z582" s="328"/>
      <c r="AB582" s="328"/>
      <c r="AC582" s="328"/>
      <c r="AD582" s="328"/>
      <c r="AE582" s="328"/>
      <c r="AF582" s="328"/>
      <c r="AG582" s="328"/>
      <c r="AH582" s="328"/>
      <c r="AI582" s="328"/>
      <c r="AK582" s="328"/>
      <c r="AR582" s="48" t="e">
        <f>#REF!-(#REF!+#REF!+#REF!)</f>
        <v>#REF!</v>
      </c>
      <c r="AS582" s="81" t="e">
        <f>#REF!-(#REF!+#REF!+#REF!)</f>
        <v>#REF!</v>
      </c>
    </row>
    <row r="583" spans="4:45" s="72" customFormat="1" ht="44.45" customHeight="1">
      <c r="D583" s="307"/>
      <c r="E583" s="326"/>
      <c r="F583" s="326"/>
      <c r="G583" s="326"/>
      <c r="H583" s="326"/>
      <c r="I583" s="326"/>
      <c r="J583" s="326"/>
      <c r="K583" s="326"/>
      <c r="L583" s="326"/>
      <c r="M583" s="326"/>
      <c r="X583" s="327"/>
      <c r="Z583" s="327"/>
      <c r="AB583" s="327"/>
      <c r="AC583" s="327"/>
      <c r="AD583" s="327"/>
      <c r="AE583" s="327"/>
      <c r="AF583" s="327"/>
      <c r="AG583" s="327"/>
      <c r="AH583" s="327"/>
      <c r="AI583" s="327"/>
      <c r="AK583" s="327"/>
      <c r="AR583" s="143"/>
      <c r="AS583" s="81"/>
    </row>
    <row r="584" spans="4:45" s="50" customFormat="1" ht="82.5" customHeight="1">
      <c r="D584" s="73"/>
      <c r="E584" s="226"/>
      <c r="F584" s="226"/>
      <c r="G584" s="226"/>
      <c r="H584" s="226"/>
      <c r="I584" s="226"/>
      <c r="J584" s="226"/>
      <c r="K584" s="226"/>
      <c r="L584" s="226"/>
      <c r="M584" s="226"/>
      <c r="X584" s="328"/>
      <c r="Z584" s="328"/>
      <c r="AB584" s="328"/>
      <c r="AC584" s="328"/>
      <c r="AD584" s="328"/>
      <c r="AE584" s="328"/>
      <c r="AF584" s="328"/>
      <c r="AG584" s="328"/>
      <c r="AH584" s="328"/>
      <c r="AI584" s="328"/>
      <c r="AK584" s="328"/>
      <c r="AR584" s="48" t="e">
        <f>#REF!-(#REF!+#REF!+#REF!)</f>
        <v>#REF!</v>
      </c>
      <c r="AS584" s="81" t="e">
        <f>#REF!-(#REF!+#REF!+#REF!)</f>
        <v>#REF!</v>
      </c>
    </row>
    <row r="585" spans="4:45" s="50" customFormat="1" ht="70.5" customHeight="1">
      <c r="D585" s="73"/>
      <c r="E585" s="226"/>
      <c r="F585" s="226"/>
      <c r="G585" s="226"/>
      <c r="H585" s="226"/>
      <c r="I585" s="226"/>
      <c r="J585" s="226"/>
      <c r="K585" s="226"/>
      <c r="L585" s="226"/>
      <c r="M585" s="226"/>
      <c r="X585" s="328"/>
      <c r="Z585" s="328"/>
      <c r="AB585" s="328"/>
      <c r="AC585" s="328"/>
      <c r="AD585" s="328"/>
      <c r="AE585" s="328"/>
      <c r="AF585" s="328"/>
      <c r="AG585" s="328"/>
      <c r="AH585" s="328"/>
      <c r="AI585" s="328"/>
      <c r="AK585" s="328"/>
      <c r="AR585" s="48" t="e">
        <f>#REF!-(#REF!+#REF!+#REF!)</f>
        <v>#REF!</v>
      </c>
      <c r="AS585" s="81" t="e">
        <f>#REF!-(#REF!+#REF!+#REF!)</f>
        <v>#REF!</v>
      </c>
    </row>
    <row r="586" spans="4:45" s="50" customFormat="1" ht="75.599999999999994" customHeight="1">
      <c r="D586" s="73"/>
      <c r="E586" s="226"/>
      <c r="F586" s="226"/>
      <c r="G586" s="226"/>
      <c r="H586" s="226"/>
      <c r="I586" s="226"/>
      <c r="J586" s="226"/>
      <c r="K586" s="226"/>
      <c r="L586" s="226"/>
      <c r="M586" s="226"/>
      <c r="X586" s="328"/>
      <c r="Z586" s="328"/>
      <c r="AB586" s="328"/>
      <c r="AC586" s="328"/>
      <c r="AD586" s="328"/>
      <c r="AE586" s="328"/>
      <c r="AF586" s="328"/>
      <c r="AG586" s="328"/>
      <c r="AH586" s="328"/>
      <c r="AI586" s="328"/>
      <c r="AK586" s="328"/>
      <c r="AR586" s="48" t="e">
        <f>#REF!-(#REF!+#REF!+#REF!)</f>
        <v>#REF!</v>
      </c>
      <c r="AS586" s="81" t="e">
        <f>#REF!-(#REF!+#REF!+#REF!)</f>
        <v>#REF!</v>
      </c>
    </row>
    <row r="588" spans="4:45">
      <c r="AS588" s="81">
        <f t="shared" ref="AS588:AS615" si="1246">AL588-(AM588+AN588+AO588)</f>
        <v>0</v>
      </c>
    </row>
    <row r="589" spans="4:45">
      <c r="AS589" s="81">
        <f t="shared" si="1246"/>
        <v>0</v>
      </c>
    </row>
    <row r="590" spans="4:45">
      <c r="AS590" s="81">
        <f t="shared" si="1246"/>
        <v>0</v>
      </c>
    </row>
    <row r="591" spans="4:45">
      <c r="AS591" s="81">
        <f t="shared" si="1246"/>
        <v>0</v>
      </c>
    </row>
    <row r="592" spans="4:45">
      <c r="AS592" s="81">
        <f t="shared" si="1246"/>
        <v>0</v>
      </c>
    </row>
    <row r="593" spans="4:45">
      <c r="AS593" s="81">
        <f t="shared" si="1246"/>
        <v>0</v>
      </c>
    </row>
    <row r="594" spans="4:45">
      <c r="AS594" s="81">
        <f t="shared" si="1246"/>
        <v>0</v>
      </c>
    </row>
    <row r="595" spans="4:45">
      <c r="AS595" s="81">
        <f t="shared" si="1246"/>
        <v>0</v>
      </c>
    </row>
    <row r="596" spans="4:45">
      <c r="AS596" s="81">
        <f t="shared" si="1246"/>
        <v>0</v>
      </c>
    </row>
    <row r="597" spans="4:45">
      <c r="AS597" s="81">
        <f t="shared" si="1246"/>
        <v>0</v>
      </c>
    </row>
    <row r="598" spans="4:45">
      <c r="AS598" s="81">
        <f t="shared" si="1246"/>
        <v>0</v>
      </c>
    </row>
    <row r="599" spans="4:45">
      <c r="AS599" s="81">
        <f t="shared" si="1246"/>
        <v>0</v>
      </c>
    </row>
    <row r="600" spans="4:45">
      <c r="AS600" s="81">
        <f t="shared" si="1246"/>
        <v>0</v>
      </c>
    </row>
    <row r="601" spans="4:45">
      <c r="D601" s="458"/>
      <c r="E601" s="51"/>
      <c r="F601" s="51"/>
      <c r="G601" s="51"/>
      <c r="H601" s="51"/>
      <c r="I601" s="51"/>
      <c r="J601" s="51"/>
      <c r="K601" s="51"/>
      <c r="L601" s="51"/>
      <c r="M601" s="51"/>
      <c r="N601" s="51"/>
      <c r="O601" s="51"/>
      <c r="P601" s="51"/>
      <c r="Q601" s="51"/>
      <c r="R601" s="51"/>
      <c r="S601" s="51"/>
      <c r="X601" s="51"/>
      <c r="Z601" s="51"/>
      <c r="AS601" s="81">
        <f t="shared" si="1246"/>
        <v>0</v>
      </c>
    </row>
    <row r="602" spans="4:45">
      <c r="D602" s="458"/>
      <c r="E602" s="51"/>
      <c r="F602" s="51"/>
      <c r="G602" s="51"/>
      <c r="H602" s="51"/>
      <c r="I602" s="51"/>
      <c r="J602" s="51"/>
      <c r="K602" s="51"/>
      <c r="L602" s="51"/>
      <c r="M602" s="51"/>
      <c r="N602" s="51"/>
      <c r="O602" s="51"/>
      <c r="P602" s="51"/>
      <c r="Q602" s="51"/>
      <c r="R602" s="51"/>
      <c r="S602" s="51"/>
      <c r="X602" s="51"/>
      <c r="Z602" s="51"/>
      <c r="AS602" s="81">
        <f t="shared" si="1246"/>
        <v>0</v>
      </c>
    </row>
    <row r="603" spans="4:45">
      <c r="D603" s="458"/>
      <c r="E603" s="51"/>
      <c r="F603" s="51"/>
      <c r="G603" s="51"/>
      <c r="H603" s="51"/>
      <c r="I603" s="51"/>
      <c r="J603" s="51"/>
      <c r="K603" s="51"/>
      <c r="L603" s="51"/>
      <c r="M603" s="51"/>
      <c r="N603" s="51"/>
      <c r="O603" s="51"/>
      <c r="P603" s="51"/>
      <c r="Q603" s="51"/>
      <c r="R603" s="51"/>
      <c r="S603" s="51"/>
      <c r="X603" s="51"/>
      <c r="Z603" s="51"/>
      <c r="AS603" s="81">
        <f t="shared" si="1246"/>
        <v>0</v>
      </c>
    </row>
    <row r="604" spans="4:45">
      <c r="D604" s="458"/>
      <c r="E604" s="51"/>
      <c r="F604" s="51"/>
      <c r="G604" s="51"/>
      <c r="H604" s="51"/>
      <c r="I604" s="51"/>
      <c r="J604" s="51"/>
      <c r="K604" s="51"/>
      <c r="L604" s="51"/>
      <c r="M604" s="51"/>
      <c r="N604" s="51"/>
      <c r="O604" s="51"/>
      <c r="P604" s="51"/>
      <c r="Q604" s="51"/>
      <c r="R604" s="51"/>
      <c r="S604" s="51"/>
      <c r="X604" s="51"/>
      <c r="Z604" s="51"/>
      <c r="AS604" s="81">
        <f t="shared" si="1246"/>
        <v>0</v>
      </c>
    </row>
    <row r="605" spans="4:45">
      <c r="D605" s="458"/>
      <c r="E605" s="51"/>
      <c r="F605" s="51"/>
      <c r="G605" s="51"/>
      <c r="H605" s="51"/>
      <c r="I605" s="51"/>
      <c r="J605" s="51"/>
      <c r="K605" s="51"/>
      <c r="L605" s="51"/>
      <c r="M605" s="51"/>
      <c r="N605" s="51"/>
      <c r="O605" s="51"/>
      <c r="P605" s="51"/>
      <c r="Q605" s="51"/>
      <c r="R605" s="51"/>
      <c r="S605" s="51"/>
      <c r="X605" s="51"/>
      <c r="Z605" s="51"/>
      <c r="AS605" s="81">
        <f t="shared" si="1246"/>
        <v>0</v>
      </c>
    </row>
    <row r="606" spans="4:45">
      <c r="D606" s="458"/>
      <c r="E606" s="51"/>
      <c r="F606" s="51"/>
      <c r="G606" s="51"/>
      <c r="H606" s="51"/>
      <c r="I606" s="51"/>
      <c r="J606" s="51"/>
      <c r="K606" s="51"/>
      <c r="L606" s="51"/>
      <c r="M606" s="51"/>
      <c r="N606" s="51"/>
      <c r="O606" s="51"/>
      <c r="P606" s="51"/>
      <c r="Q606" s="51"/>
      <c r="R606" s="51"/>
      <c r="S606" s="51"/>
      <c r="X606" s="51"/>
      <c r="Z606" s="51"/>
      <c r="AS606" s="81">
        <f t="shared" si="1246"/>
        <v>0</v>
      </c>
    </row>
    <row r="607" spans="4:45">
      <c r="D607" s="458"/>
      <c r="E607" s="51"/>
      <c r="F607" s="51"/>
      <c r="G607" s="51"/>
      <c r="H607" s="51"/>
      <c r="I607" s="51"/>
      <c r="J607" s="51"/>
      <c r="K607" s="51"/>
      <c r="L607" s="51"/>
      <c r="M607" s="51"/>
      <c r="N607" s="51"/>
      <c r="O607" s="51"/>
      <c r="P607" s="51"/>
      <c r="Q607" s="51"/>
      <c r="R607" s="51"/>
      <c r="S607" s="51"/>
      <c r="X607" s="51"/>
      <c r="Z607" s="51"/>
      <c r="AS607" s="81">
        <f t="shared" si="1246"/>
        <v>0</v>
      </c>
    </row>
    <row r="608" spans="4:45">
      <c r="D608" s="458"/>
      <c r="E608" s="51"/>
      <c r="F608" s="51"/>
      <c r="G608" s="51"/>
      <c r="H608" s="51"/>
      <c r="I608" s="51"/>
      <c r="J608" s="51"/>
      <c r="K608" s="51"/>
      <c r="L608" s="51"/>
      <c r="M608" s="51"/>
      <c r="N608" s="51"/>
      <c r="O608" s="51"/>
      <c r="P608" s="51"/>
      <c r="Q608" s="51"/>
      <c r="R608" s="51"/>
      <c r="S608" s="51"/>
      <c r="X608" s="51"/>
      <c r="Z608" s="51"/>
      <c r="AS608" s="81">
        <f t="shared" si="1246"/>
        <v>0</v>
      </c>
    </row>
    <row r="609" spans="4:45">
      <c r="D609" s="458"/>
      <c r="E609" s="51"/>
      <c r="F609" s="51"/>
      <c r="G609" s="51"/>
      <c r="H609" s="51"/>
      <c r="I609" s="51"/>
      <c r="J609" s="51"/>
      <c r="K609" s="51"/>
      <c r="L609" s="51"/>
      <c r="M609" s="51"/>
      <c r="N609" s="51"/>
      <c r="O609" s="51"/>
      <c r="P609" s="51"/>
      <c r="Q609" s="51"/>
      <c r="R609" s="51"/>
      <c r="S609" s="51"/>
      <c r="X609" s="51"/>
      <c r="Z609" s="51"/>
      <c r="AS609" s="81">
        <f t="shared" si="1246"/>
        <v>0</v>
      </c>
    </row>
    <row r="610" spans="4:45">
      <c r="D610" s="458"/>
      <c r="E610" s="51"/>
      <c r="F610" s="51"/>
      <c r="G610" s="51"/>
      <c r="H610" s="51"/>
      <c r="I610" s="51"/>
      <c r="J610" s="51"/>
      <c r="K610" s="51"/>
      <c r="L610" s="51"/>
      <c r="M610" s="51"/>
      <c r="N610" s="51"/>
      <c r="O610" s="51"/>
      <c r="P610" s="51"/>
      <c r="Q610" s="51"/>
      <c r="R610" s="51"/>
      <c r="S610" s="51"/>
      <c r="X610" s="51"/>
      <c r="Z610" s="51"/>
      <c r="AS610" s="81">
        <f t="shared" si="1246"/>
        <v>0</v>
      </c>
    </row>
    <row r="611" spans="4:45">
      <c r="D611" s="458"/>
      <c r="E611" s="51"/>
      <c r="F611" s="51"/>
      <c r="G611" s="51"/>
      <c r="H611" s="51"/>
      <c r="I611" s="51"/>
      <c r="J611" s="51"/>
      <c r="K611" s="51"/>
      <c r="L611" s="51"/>
      <c r="M611" s="51"/>
      <c r="N611" s="51"/>
      <c r="O611" s="51"/>
      <c r="P611" s="51"/>
      <c r="Q611" s="51"/>
      <c r="R611" s="51"/>
      <c r="S611" s="51"/>
      <c r="X611" s="51"/>
      <c r="Z611" s="51"/>
      <c r="AS611" s="81">
        <f t="shared" si="1246"/>
        <v>0</v>
      </c>
    </row>
    <row r="612" spans="4:45">
      <c r="D612" s="458"/>
      <c r="E612" s="51"/>
      <c r="F612" s="51"/>
      <c r="G612" s="51"/>
      <c r="H612" s="51"/>
      <c r="I612" s="51"/>
      <c r="J612" s="51"/>
      <c r="K612" s="51"/>
      <c r="L612" s="51"/>
      <c r="M612" s="51"/>
      <c r="N612" s="51"/>
      <c r="O612" s="51"/>
      <c r="P612" s="51"/>
      <c r="Q612" s="51"/>
      <c r="R612" s="51"/>
      <c r="S612" s="51"/>
      <c r="X612" s="51"/>
      <c r="Z612" s="51"/>
      <c r="AS612" s="81">
        <f t="shared" si="1246"/>
        <v>0</v>
      </c>
    </row>
    <row r="613" spans="4:45">
      <c r="D613" s="458"/>
      <c r="E613" s="51"/>
      <c r="F613" s="51"/>
      <c r="G613" s="51"/>
      <c r="H613" s="51"/>
      <c r="I613" s="51"/>
      <c r="J613" s="51"/>
      <c r="K613" s="51"/>
      <c r="L613" s="51"/>
      <c r="M613" s="51"/>
      <c r="N613" s="51"/>
      <c r="O613" s="51"/>
      <c r="P613" s="51"/>
      <c r="Q613" s="51"/>
      <c r="R613" s="51"/>
      <c r="S613" s="51"/>
      <c r="X613" s="51"/>
      <c r="Z613" s="51"/>
      <c r="AS613" s="81">
        <f t="shared" si="1246"/>
        <v>0</v>
      </c>
    </row>
    <row r="614" spans="4:45">
      <c r="D614" s="458"/>
      <c r="E614" s="51"/>
      <c r="F614" s="51"/>
      <c r="G614" s="51"/>
      <c r="H614" s="51"/>
      <c r="I614" s="51"/>
      <c r="J614" s="51"/>
      <c r="K614" s="51"/>
      <c r="L614" s="51"/>
      <c r="M614" s="51"/>
      <c r="N614" s="51"/>
      <c r="O614" s="51"/>
      <c r="P614" s="51"/>
      <c r="Q614" s="51"/>
      <c r="R614" s="51"/>
      <c r="S614" s="51"/>
      <c r="X614" s="51"/>
      <c r="Z614" s="51"/>
      <c r="AS614" s="81">
        <f t="shared" si="1246"/>
        <v>0</v>
      </c>
    </row>
    <row r="615" spans="4:45">
      <c r="D615" s="458"/>
      <c r="E615" s="51"/>
      <c r="F615" s="51"/>
      <c r="G615" s="51"/>
      <c r="H615" s="51"/>
      <c r="I615" s="51"/>
      <c r="J615" s="51"/>
      <c r="K615" s="51"/>
      <c r="L615" s="51"/>
      <c r="M615" s="51"/>
      <c r="N615" s="51"/>
      <c r="O615" s="51"/>
      <c r="P615" s="51"/>
      <c r="Q615" s="51"/>
      <c r="R615" s="51"/>
      <c r="S615" s="51"/>
      <c r="X615" s="51"/>
      <c r="Z615" s="51"/>
      <c r="AS615" s="81">
        <f t="shared" si="1246"/>
        <v>0</v>
      </c>
    </row>
    <row r="616" spans="4:45">
      <c r="D616" s="458"/>
      <c r="E616" s="51"/>
      <c r="F616" s="51"/>
      <c r="G616" s="51"/>
      <c r="H616" s="51"/>
      <c r="I616" s="51"/>
      <c r="J616" s="51"/>
      <c r="K616" s="51"/>
      <c r="L616" s="51"/>
      <c r="M616" s="51"/>
      <c r="N616" s="51"/>
      <c r="O616" s="51"/>
      <c r="P616" s="51"/>
      <c r="Q616" s="51"/>
      <c r="R616" s="51"/>
      <c r="S616" s="51"/>
      <c r="X616" s="51"/>
      <c r="Z616" s="51"/>
      <c r="AS616" s="81">
        <f t="shared" ref="AS616:AS625" si="1247">AL616-(AM616+AN616+AO616)</f>
        <v>0</v>
      </c>
    </row>
    <row r="617" spans="4:45">
      <c r="D617" s="458"/>
      <c r="E617" s="51"/>
      <c r="F617" s="51"/>
      <c r="G617" s="51"/>
      <c r="H617" s="51"/>
      <c r="I617" s="51"/>
      <c r="J617" s="51"/>
      <c r="K617" s="51"/>
      <c r="L617" s="51"/>
      <c r="M617" s="51"/>
      <c r="N617" s="51"/>
      <c r="O617" s="51"/>
      <c r="P617" s="51"/>
      <c r="Q617" s="51"/>
      <c r="R617" s="51"/>
      <c r="S617" s="51"/>
      <c r="X617" s="51"/>
      <c r="Z617" s="51"/>
      <c r="AS617" s="81">
        <f t="shared" si="1247"/>
        <v>0</v>
      </c>
    </row>
    <row r="618" spans="4:45">
      <c r="D618" s="458"/>
      <c r="E618" s="51"/>
      <c r="F618" s="51"/>
      <c r="G618" s="51"/>
      <c r="H618" s="51"/>
      <c r="I618" s="51"/>
      <c r="J618" s="51"/>
      <c r="K618" s="51"/>
      <c r="L618" s="51"/>
      <c r="M618" s="51"/>
      <c r="N618" s="51"/>
      <c r="O618" s="51"/>
      <c r="P618" s="51"/>
      <c r="Q618" s="51"/>
      <c r="R618" s="51"/>
      <c r="S618" s="51"/>
      <c r="X618" s="51"/>
      <c r="Z618" s="51"/>
      <c r="AS618" s="81">
        <f t="shared" si="1247"/>
        <v>0</v>
      </c>
    </row>
    <row r="619" spans="4:45">
      <c r="D619" s="458"/>
      <c r="E619" s="51"/>
      <c r="F619" s="51"/>
      <c r="G619" s="51"/>
      <c r="H619" s="51"/>
      <c r="I619" s="51"/>
      <c r="J619" s="51"/>
      <c r="K619" s="51"/>
      <c r="L619" s="51"/>
      <c r="M619" s="51"/>
      <c r="N619" s="51"/>
      <c r="O619" s="51"/>
      <c r="P619" s="51"/>
      <c r="Q619" s="51"/>
      <c r="R619" s="51"/>
      <c r="S619" s="51"/>
      <c r="X619" s="51"/>
      <c r="Z619" s="51"/>
      <c r="AS619" s="81">
        <f t="shared" si="1247"/>
        <v>0</v>
      </c>
    </row>
    <row r="620" spans="4:45">
      <c r="D620" s="458"/>
      <c r="E620" s="51"/>
      <c r="F620" s="51"/>
      <c r="G620" s="51"/>
      <c r="H620" s="51"/>
      <c r="I620" s="51"/>
      <c r="J620" s="51"/>
      <c r="K620" s="51"/>
      <c r="L620" s="51"/>
      <c r="M620" s="51"/>
      <c r="N620" s="51"/>
      <c r="O620" s="51"/>
      <c r="P620" s="51"/>
      <c r="Q620" s="51"/>
      <c r="R620" s="51"/>
      <c r="S620" s="51"/>
      <c r="X620" s="51"/>
      <c r="Z620" s="51"/>
      <c r="AS620" s="81">
        <f t="shared" si="1247"/>
        <v>0</v>
      </c>
    </row>
    <row r="621" spans="4:45">
      <c r="D621" s="458"/>
      <c r="E621" s="51"/>
      <c r="F621" s="51"/>
      <c r="G621" s="51"/>
      <c r="H621" s="51"/>
      <c r="I621" s="51"/>
      <c r="J621" s="51"/>
      <c r="K621" s="51"/>
      <c r="L621" s="51"/>
      <c r="M621" s="51"/>
      <c r="N621" s="51"/>
      <c r="O621" s="51"/>
      <c r="P621" s="51"/>
      <c r="Q621" s="51"/>
      <c r="R621" s="51"/>
      <c r="S621" s="51"/>
      <c r="X621" s="51"/>
      <c r="Z621" s="51"/>
      <c r="AS621" s="81">
        <f t="shared" si="1247"/>
        <v>0</v>
      </c>
    </row>
    <row r="622" spans="4:45">
      <c r="D622" s="458"/>
      <c r="E622" s="51"/>
      <c r="F622" s="51"/>
      <c r="G622" s="51"/>
      <c r="H622" s="51"/>
      <c r="I622" s="51"/>
      <c r="J622" s="51"/>
      <c r="K622" s="51"/>
      <c r="L622" s="51"/>
      <c r="M622" s="51"/>
      <c r="N622" s="51"/>
      <c r="O622" s="51"/>
      <c r="P622" s="51"/>
      <c r="Q622" s="51"/>
      <c r="R622" s="51"/>
      <c r="S622" s="51"/>
      <c r="X622" s="51"/>
      <c r="Z622" s="51"/>
      <c r="AS622" s="81">
        <f t="shared" si="1247"/>
        <v>0</v>
      </c>
    </row>
    <row r="623" spans="4:45">
      <c r="D623" s="458"/>
      <c r="E623" s="51"/>
      <c r="F623" s="51"/>
      <c r="G623" s="51"/>
      <c r="H623" s="51"/>
      <c r="I623" s="51"/>
      <c r="J623" s="51"/>
      <c r="K623" s="51"/>
      <c r="L623" s="51"/>
      <c r="M623" s="51"/>
      <c r="N623" s="51"/>
      <c r="O623" s="51"/>
      <c r="P623" s="51"/>
      <c r="Q623" s="51"/>
      <c r="R623" s="51"/>
      <c r="S623" s="51"/>
      <c r="X623" s="51"/>
      <c r="Z623" s="51"/>
      <c r="AS623" s="81">
        <f t="shared" si="1247"/>
        <v>0</v>
      </c>
    </row>
    <row r="624" spans="4:45">
      <c r="D624" s="458"/>
      <c r="E624" s="51"/>
      <c r="F624" s="51"/>
      <c r="G624" s="51"/>
      <c r="H624" s="51"/>
      <c r="I624" s="51"/>
      <c r="J624" s="51"/>
      <c r="K624" s="51"/>
      <c r="L624" s="51"/>
      <c r="M624" s="51"/>
      <c r="N624" s="51"/>
      <c r="O624" s="51"/>
      <c r="P624" s="51"/>
      <c r="Q624" s="51"/>
      <c r="R624" s="51"/>
      <c r="S624" s="51"/>
      <c r="X624" s="51"/>
      <c r="Z624" s="51"/>
      <c r="AS624" s="81">
        <f t="shared" si="1247"/>
        <v>0</v>
      </c>
    </row>
    <row r="625" spans="4:45">
      <c r="D625" s="458"/>
      <c r="E625" s="51"/>
      <c r="F625" s="51"/>
      <c r="G625" s="51"/>
      <c r="H625" s="51"/>
      <c r="I625" s="51"/>
      <c r="J625" s="51"/>
      <c r="K625" s="51"/>
      <c r="L625" s="51"/>
      <c r="M625" s="51"/>
      <c r="N625" s="51"/>
      <c r="O625" s="51"/>
      <c r="P625" s="51"/>
      <c r="Q625" s="51"/>
      <c r="R625" s="51"/>
      <c r="S625" s="51"/>
      <c r="X625" s="51"/>
      <c r="Z625" s="51"/>
      <c r="AS625" s="81">
        <f t="shared" si="1247"/>
        <v>0</v>
      </c>
    </row>
  </sheetData>
  <mergeCells count="44">
    <mergeCell ref="T8:T11"/>
    <mergeCell ref="AL8:AP8"/>
    <mergeCell ref="AL9:AL11"/>
    <mergeCell ref="AM10:AM11"/>
    <mergeCell ref="B8:B11"/>
    <mergeCell ref="C8:C11"/>
    <mergeCell ref="D8:D11"/>
    <mergeCell ref="AN10:AN11"/>
    <mergeCell ref="AA8:AA11"/>
    <mergeCell ref="AJ8:AJ11"/>
    <mergeCell ref="V8:Y8"/>
    <mergeCell ref="Z8:Z11"/>
    <mergeCell ref="W10:W11"/>
    <mergeCell ref="X10:Y10"/>
    <mergeCell ref="U8:U11"/>
    <mergeCell ref="AI8:AI11"/>
    <mergeCell ref="O8:O11"/>
    <mergeCell ref="P8:P11"/>
    <mergeCell ref="Q8:Q11"/>
    <mergeCell ref="R8:R11"/>
    <mergeCell ref="S8:S11"/>
    <mergeCell ref="B1:AQ1"/>
    <mergeCell ref="B2:AQ2"/>
    <mergeCell ref="B3:AQ3"/>
    <mergeCell ref="B6:AQ6"/>
    <mergeCell ref="AK7:AQ7"/>
    <mergeCell ref="B4:AQ4"/>
    <mergeCell ref="B5:AQ5"/>
    <mergeCell ref="I8:J10"/>
    <mergeCell ref="G8:H10"/>
    <mergeCell ref="E8:F10"/>
    <mergeCell ref="AQ8:AQ11"/>
    <mergeCell ref="K8:M10"/>
    <mergeCell ref="AM9:AP9"/>
    <mergeCell ref="AP10:AP11"/>
    <mergeCell ref="AO10:AO11"/>
    <mergeCell ref="AF8:AF11"/>
    <mergeCell ref="V9:V11"/>
    <mergeCell ref="W9:Y9"/>
    <mergeCell ref="AK8:AK11"/>
    <mergeCell ref="AB9:AE9"/>
    <mergeCell ref="AG8:AG11"/>
    <mergeCell ref="AH8:AH11"/>
    <mergeCell ref="N8:N11"/>
  </mergeCells>
  <conditionalFormatting sqref="W246">
    <cfRule type="cellIs" dxfId="5" priority="13" operator="equal">
      <formula>0</formula>
    </cfRule>
  </conditionalFormatting>
  <conditionalFormatting sqref="X246:Y246">
    <cfRule type="cellIs" dxfId="4" priority="12" operator="equal">
      <formula>0</formula>
    </cfRule>
  </conditionalFormatting>
  <conditionalFormatting sqref="AI103">
    <cfRule type="cellIs" dxfId="3" priority="4" operator="equal">
      <formula>0</formula>
    </cfRule>
  </conditionalFormatting>
  <conditionalFormatting sqref="AI146">
    <cfRule type="cellIs" dxfId="2" priority="3" operator="equal">
      <formula>0</formula>
    </cfRule>
  </conditionalFormatting>
  <conditionalFormatting sqref="AI148">
    <cfRule type="cellIs" dxfId="1" priority="2" operator="equal">
      <formula>0</formula>
    </cfRule>
  </conditionalFormatting>
  <conditionalFormatting sqref="AI150:AI151">
    <cfRule type="cellIs" dxfId="0" priority="1" operator="equal">
      <formula>0</formula>
    </cfRule>
  </conditionalFormatting>
  <printOptions horizontalCentered="1"/>
  <pageMargins left="0.27559055118110237" right="0.27559055118110237" top="0.59055118110236227" bottom="0.47244094488188981" header="0.31496062992125984" footer="0.31496062992125984"/>
  <pageSetup paperSize="9" scale="52" fitToHeight="0" orientation="landscape" horizontalDpi="300" verticalDpi="300" r:id="rId1"/>
  <headerFooter>
    <oddHeader>&amp;R&amp;"Times New Roman,Regular"PL3: KH2023 (CHI TIẾT)</oddHeader>
    <oddFooter>&amp;R&amp;"Times New Roman,Regular"&amp;P/&amp;N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PL1-TH</vt:lpstr>
      <vt:lpstr>PL2 PAVon</vt:lpstr>
      <vt:lpstr>PL3-PA DA</vt:lpstr>
      <vt:lpstr>'PL1-TH'!Print_Area</vt:lpstr>
      <vt:lpstr>'PL1-TH'!Print_Titles</vt:lpstr>
      <vt:lpstr>'PL2 PAVon'!Print_Titles</vt:lpstr>
      <vt:lpstr>'PL3-PA DA'!Print_Titles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p:lastModifiedBy>
  <cp:lastPrinted>2022-12-12T07:26:21Z</cp:lastPrinted>
  <dcterms:created xsi:type="dcterms:W3CDTF">2021-07-05T09:31:15Z</dcterms:created>
  <dcterms:modified xsi:type="dcterms:W3CDTF">2022-12-09T09:45:21Z</dcterms:modified>
</cp:coreProperties>
</file>