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0" windowWidth="16815" windowHeight="7755" tabRatio="802"/>
  </bookViews>
  <sheets>
    <sheet name="PL1-TH" sheetId="29" r:id="rId1"/>
    <sheet name="PL2 PAVon" sheetId="21" r:id="rId2"/>
    <sheet name="PL3-PA DA" sheetId="12" r:id="rId3"/>
    <sheet name="PL3a_chi tiet NSTW24 NTM " sheetId="30" r:id="rId4"/>
  </sheets>
  <externalReferences>
    <externalReference r:id="rId5"/>
    <externalReference r:id="rId6"/>
    <externalReference r:id="rId7"/>
  </externalReferences>
  <definedNames>
    <definedName name="_xlnm._FilterDatabase" localSheetId="2" hidden="1">'PL3-PA DA'!$C$1:$C$574</definedName>
    <definedName name="_xlnm.Print_Area" localSheetId="0">'PL1-TH'!$A$1:$F$31</definedName>
    <definedName name="_xlnm.Print_Titles" localSheetId="0">'PL1-TH'!$8:$9</definedName>
    <definedName name="_xlnm.Print_Titles" localSheetId="1">'PL2 PAVon'!$8:$13</definedName>
    <definedName name="_xlnm.Print_Titles" localSheetId="3">'PL3a_chi tiet NSTW24 NTM '!$6:$10</definedName>
    <definedName name="_xlnm.Print_Titles" localSheetId="2">'PL3-PA DA'!$6:$10</definedName>
  </definedNames>
  <calcPr calcId="152511"/>
</workbook>
</file>

<file path=xl/calcChain.xml><?xml version="1.0" encoding="utf-8"?>
<calcChain xmlns="http://schemas.openxmlformats.org/spreadsheetml/2006/main">
  <c r="G16" i="21" l="1"/>
  <c r="M15" i="21" l="1"/>
  <c r="I15" i="21"/>
  <c r="J16" i="21" s="1"/>
  <c r="G15" i="21"/>
  <c r="H16" i="21" s="1"/>
  <c r="E15" i="21"/>
  <c r="C15" i="21"/>
  <c r="D16" i="21" s="1"/>
  <c r="N16" i="21"/>
  <c r="I16" i="21"/>
  <c r="K16" i="21"/>
  <c r="L16" i="21"/>
  <c r="M16" i="21"/>
  <c r="E16" i="21"/>
  <c r="C16" i="21"/>
  <c r="C40" i="21"/>
  <c r="G35" i="21"/>
  <c r="G28" i="21"/>
  <c r="G27" i="21"/>
  <c r="G31" i="21"/>
  <c r="G30" i="21"/>
  <c r="E36" i="21"/>
  <c r="E22" i="21"/>
  <c r="E12" i="29" l="1"/>
  <c r="E10" i="29" s="1"/>
  <c r="D27" i="29"/>
  <c r="D17" i="29"/>
  <c r="D12" i="29" s="1"/>
  <c r="D23" i="29" l="1"/>
  <c r="D21" i="29" s="1"/>
  <c r="D10" i="29" s="1"/>
  <c r="N213" i="12"/>
  <c r="L201" i="12" l="1"/>
  <c r="M201" i="12"/>
  <c r="N201" i="12"/>
  <c r="O201" i="12"/>
  <c r="Q201" i="12"/>
  <c r="R201" i="12"/>
  <c r="S201" i="12"/>
  <c r="T201" i="12"/>
  <c r="U201" i="12"/>
  <c r="K201" i="12"/>
  <c r="C206" i="12"/>
  <c r="C205" i="12" s="1"/>
  <c r="L206" i="12"/>
  <c r="L205" i="12" s="1"/>
  <c r="M206" i="12"/>
  <c r="M205" i="12" s="1"/>
  <c r="N206" i="12"/>
  <c r="N205" i="12" s="1"/>
  <c r="O206" i="12"/>
  <c r="O205" i="12" s="1"/>
  <c r="Q206" i="12"/>
  <c r="Q205" i="12" s="1"/>
  <c r="R206" i="12"/>
  <c r="R205" i="12" s="1"/>
  <c r="S206" i="12"/>
  <c r="S205" i="12" s="1"/>
  <c r="T206" i="12"/>
  <c r="T205" i="12" s="1"/>
  <c r="U206" i="12"/>
  <c r="U205" i="12" s="1"/>
  <c r="K206" i="12"/>
  <c r="K205" i="12" s="1"/>
  <c r="C223" i="12"/>
  <c r="L223" i="12"/>
  <c r="M223" i="12"/>
  <c r="N223" i="12"/>
  <c r="O223" i="12"/>
  <c r="Q223" i="12"/>
  <c r="R223" i="12"/>
  <c r="S223" i="12"/>
  <c r="T223" i="12"/>
  <c r="U223" i="12"/>
  <c r="K223" i="12"/>
  <c r="C260" i="12"/>
  <c r="L260" i="12"/>
  <c r="M260" i="12"/>
  <c r="N260" i="12"/>
  <c r="O260" i="12"/>
  <c r="Q260" i="12"/>
  <c r="R260" i="12"/>
  <c r="S260" i="12"/>
  <c r="T260" i="12"/>
  <c r="U260" i="12"/>
  <c r="K260" i="12"/>
  <c r="C273" i="12"/>
  <c r="L273" i="12"/>
  <c r="M273" i="12"/>
  <c r="N273" i="12"/>
  <c r="O273" i="12"/>
  <c r="Q273" i="12"/>
  <c r="R273" i="12"/>
  <c r="S273" i="12"/>
  <c r="T273" i="12"/>
  <c r="U273" i="12"/>
  <c r="K273" i="12"/>
  <c r="C235" i="12"/>
  <c r="L235" i="12"/>
  <c r="M235" i="12"/>
  <c r="N235" i="12"/>
  <c r="O235" i="12"/>
  <c r="Q235" i="12"/>
  <c r="R235" i="12"/>
  <c r="S235" i="12"/>
  <c r="T235" i="12"/>
  <c r="U235" i="12"/>
  <c r="K235" i="12"/>
  <c r="C228" i="12"/>
  <c r="C227" i="12" s="1"/>
  <c r="C226" i="12" s="1"/>
  <c r="L228" i="12"/>
  <c r="M228" i="12"/>
  <c r="N228" i="12"/>
  <c r="O228" i="12"/>
  <c r="O227" i="12" s="1"/>
  <c r="O226" i="12" s="1"/>
  <c r="Q228" i="12"/>
  <c r="R228" i="12"/>
  <c r="S228" i="12"/>
  <c r="S227" i="12" s="1"/>
  <c r="S226" i="12" s="1"/>
  <c r="T228" i="12"/>
  <c r="T227" i="12" s="1"/>
  <c r="T226" i="12" s="1"/>
  <c r="U228" i="12"/>
  <c r="K228" i="12"/>
  <c r="K227" i="12" s="1"/>
  <c r="K226" i="12" s="1"/>
  <c r="N227" i="12" l="1"/>
  <c r="N226" i="12" s="1"/>
  <c r="R227" i="12"/>
  <c r="R226" i="12" s="1"/>
  <c r="L227" i="12"/>
  <c r="L226" i="12" s="1"/>
  <c r="Q227" i="12"/>
  <c r="Q226" i="12" s="1"/>
  <c r="M227" i="12"/>
  <c r="M226" i="12" s="1"/>
  <c r="U227" i="12"/>
  <c r="U226" i="12" s="1"/>
  <c r="L76" i="12"/>
  <c r="M76" i="12"/>
  <c r="N76" i="12"/>
  <c r="O76" i="12"/>
  <c r="Q76" i="12"/>
  <c r="S76" i="12"/>
  <c r="S75" i="12" s="1"/>
  <c r="T76" i="12"/>
  <c r="T75" i="12" s="1"/>
  <c r="U76" i="12"/>
  <c r="U75" i="12" s="1"/>
  <c r="K76" i="12"/>
  <c r="C309" i="12"/>
  <c r="L309" i="12"/>
  <c r="M309" i="12"/>
  <c r="N309" i="12"/>
  <c r="O309" i="12"/>
  <c r="Q309" i="12"/>
  <c r="R309" i="12"/>
  <c r="S309" i="12"/>
  <c r="T309" i="12"/>
  <c r="U309" i="12"/>
  <c r="K309" i="12"/>
  <c r="C311" i="12"/>
  <c r="L311" i="12"/>
  <c r="M311" i="12"/>
  <c r="M308" i="12" s="1"/>
  <c r="N311" i="12"/>
  <c r="N308" i="12" s="1"/>
  <c r="O311" i="12"/>
  <c r="P311" i="12"/>
  <c r="Q311" i="12"/>
  <c r="R311" i="12"/>
  <c r="S311" i="12"/>
  <c r="T311" i="12"/>
  <c r="U311" i="12"/>
  <c r="U308" i="12" s="1"/>
  <c r="K311" i="12"/>
  <c r="U303" i="12"/>
  <c r="T303" i="12"/>
  <c r="S303" i="12"/>
  <c r="R303" i="12"/>
  <c r="Q303" i="12"/>
  <c r="P303" i="12"/>
  <c r="O303" i="12"/>
  <c r="N303" i="12"/>
  <c r="M303" i="12"/>
  <c r="L303" i="12"/>
  <c r="K303" i="12"/>
  <c r="C303" i="12"/>
  <c r="C218" i="12"/>
  <c r="C217" i="12" s="1"/>
  <c r="C216" i="12" s="1"/>
  <c r="C242" i="12"/>
  <c r="C246" i="12"/>
  <c r="L244" i="12"/>
  <c r="M244" i="12"/>
  <c r="N244" i="12"/>
  <c r="O244" i="12"/>
  <c r="Q244" i="12"/>
  <c r="R244" i="12"/>
  <c r="S244" i="12"/>
  <c r="T244" i="12"/>
  <c r="U244" i="12"/>
  <c r="K244" i="12"/>
  <c r="L242" i="12"/>
  <c r="M242" i="12"/>
  <c r="N242" i="12"/>
  <c r="O242" i="12"/>
  <c r="Q242" i="12"/>
  <c r="R242" i="12"/>
  <c r="S242" i="12"/>
  <c r="T242" i="12"/>
  <c r="U242" i="12"/>
  <c r="K242" i="12"/>
  <c r="L246" i="12"/>
  <c r="M246" i="12"/>
  <c r="N246" i="12"/>
  <c r="O246" i="12"/>
  <c r="O241" i="12" s="1"/>
  <c r="O240" i="12" s="1"/>
  <c r="P246" i="12"/>
  <c r="Q246" i="12"/>
  <c r="R246" i="12"/>
  <c r="S246" i="12"/>
  <c r="T246" i="12"/>
  <c r="U246" i="12"/>
  <c r="K246" i="12"/>
  <c r="L64" i="12"/>
  <c r="M64" i="12"/>
  <c r="N64" i="12"/>
  <c r="O64" i="12"/>
  <c r="P64" i="12"/>
  <c r="Q64" i="12"/>
  <c r="R64" i="12"/>
  <c r="S64" i="12"/>
  <c r="T64" i="12"/>
  <c r="U64" i="12"/>
  <c r="L218" i="12"/>
  <c r="L217" i="12" s="1"/>
  <c r="L216" i="12" s="1"/>
  <c r="M218" i="12"/>
  <c r="M217" i="12" s="1"/>
  <c r="M216" i="12" s="1"/>
  <c r="N218" i="12"/>
  <c r="N217" i="12" s="1"/>
  <c r="N216" i="12" s="1"/>
  <c r="O218" i="12"/>
  <c r="O217" i="12" s="1"/>
  <c r="O216" i="12" s="1"/>
  <c r="P218" i="12"/>
  <c r="Q218" i="12"/>
  <c r="Q217" i="12" s="1"/>
  <c r="Q216" i="12" s="1"/>
  <c r="R218" i="12"/>
  <c r="R217" i="12" s="1"/>
  <c r="R216" i="12" s="1"/>
  <c r="S218" i="12"/>
  <c r="S217" i="12" s="1"/>
  <c r="S216" i="12" s="1"/>
  <c r="T218" i="12"/>
  <c r="T217" i="12" s="1"/>
  <c r="T216" i="12" s="1"/>
  <c r="U218" i="12"/>
  <c r="U217" i="12" s="1"/>
  <c r="U216" i="12" s="1"/>
  <c r="K218" i="12"/>
  <c r="K217" i="12" s="1"/>
  <c r="K216" i="12" s="1"/>
  <c r="R213" i="12"/>
  <c r="C203" i="12"/>
  <c r="K203" i="12"/>
  <c r="L203" i="12"/>
  <c r="M203" i="12"/>
  <c r="N203" i="12"/>
  <c r="O203" i="12"/>
  <c r="Q203" i="12"/>
  <c r="Q75" i="12" s="1"/>
  <c r="R204" i="12"/>
  <c r="R203" i="12" s="1"/>
  <c r="C241" i="12" l="1"/>
  <c r="C240" i="12" s="1"/>
  <c r="C308" i="12"/>
  <c r="R308" i="12"/>
  <c r="S241" i="12"/>
  <c r="S240" i="12" s="1"/>
  <c r="Q308" i="12"/>
  <c r="O75" i="12"/>
  <c r="K75" i="12"/>
  <c r="N75" i="12"/>
  <c r="N241" i="12"/>
  <c r="N240" i="12" s="1"/>
  <c r="M75" i="12"/>
  <c r="U241" i="12"/>
  <c r="U240" i="12" s="1"/>
  <c r="M241" i="12"/>
  <c r="M240" i="12" s="1"/>
  <c r="L75" i="12"/>
  <c r="T308" i="12"/>
  <c r="L308" i="12"/>
  <c r="S308" i="12"/>
  <c r="O308" i="12"/>
  <c r="K308" i="12"/>
  <c r="R241" i="12"/>
  <c r="R240" i="12" s="1"/>
  <c r="Q241" i="12"/>
  <c r="Q240" i="12" s="1"/>
  <c r="T241" i="12"/>
  <c r="T240" i="12" s="1"/>
  <c r="L241" i="12"/>
  <c r="L240" i="12" s="1"/>
  <c r="K241" i="12"/>
  <c r="K240" i="12" s="1"/>
  <c r="A4" i="30"/>
  <c r="Q113" i="30"/>
  <c r="O113" i="30"/>
  <c r="N113" i="30"/>
  <c r="M113" i="30"/>
  <c r="L113" i="30"/>
  <c r="K113" i="30"/>
  <c r="X111" i="30"/>
  <c r="S111" i="30"/>
  <c r="S110" i="30" s="1"/>
  <c r="S109" i="30" s="1"/>
  <c r="K111" i="30"/>
  <c r="K110" i="30" s="1"/>
  <c r="K109" i="30" s="1"/>
  <c r="W110" i="30"/>
  <c r="V110" i="30"/>
  <c r="V109" i="30" s="1"/>
  <c r="U110" i="30"/>
  <c r="U109" i="30" s="1"/>
  <c r="T110" i="30"/>
  <c r="R110" i="30"/>
  <c r="R109" i="30" s="1"/>
  <c r="Q110" i="30"/>
  <c r="Q109" i="30" s="1"/>
  <c r="P110" i="30"/>
  <c r="P109" i="30" s="1"/>
  <c r="O110" i="30"/>
  <c r="O109" i="30" s="1"/>
  <c r="N110" i="30"/>
  <c r="M110" i="30"/>
  <c r="M109" i="30" s="1"/>
  <c r="L110" i="30"/>
  <c r="L109" i="30" s="1"/>
  <c r="C110" i="30"/>
  <c r="Y109" i="30"/>
  <c r="X109" i="30"/>
  <c r="W109" i="30"/>
  <c r="T109" i="30"/>
  <c r="N109" i="30"/>
  <c r="C109" i="30"/>
  <c r="X107" i="30"/>
  <c r="X106" i="30" s="1"/>
  <c r="K107" i="30"/>
  <c r="K106" i="30" s="1"/>
  <c r="W106" i="30"/>
  <c r="V106" i="30"/>
  <c r="V101" i="30" s="1"/>
  <c r="U106" i="30"/>
  <c r="T106" i="30"/>
  <c r="S106" i="30"/>
  <c r="R106" i="30"/>
  <c r="Q106" i="30"/>
  <c r="O106" i="30"/>
  <c r="N106" i="30"/>
  <c r="M106" i="30"/>
  <c r="L106" i="30"/>
  <c r="C106" i="30"/>
  <c r="X105" i="30"/>
  <c r="X104" i="30" s="1"/>
  <c r="U105" i="30"/>
  <c r="U104" i="30" s="1"/>
  <c r="L105" i="30"/>
  <c r="K105" i="30" s="1"/>
  <c r="K104" i="30" s="1"/>
  <c r="W104" i="30"/>
  <c r="V104" i="30"/>
  <c r="T104" i="30"/>
  <c r="S104" i="30"/>
  <c r="R104" i="30"/>
  <c r="Q104" i="30"/>
  <c r="P104" i="30"/>
  <c r="O104" i="30"/>
  <c r="N104" i="30"/>
  <c r="M104" i="30"/>
  <c r="C104" i="30"/>
  <c r="X103" i="30"/>
  <c r="X102" i="30" s="1"/>
  <c r="U103" i="30"/>
  <c r="U102" i="30" s="1"/>
  <c r="M103" i="30"/>
  <c r="M102" i="30" s="1"/>
  <c r="L103" i="30"/>
  <c r="L102" i="30" s="1"/>
  <c r="W102" i="30"/>
  <c r="V102" i="30"/>
  <c r="T102" i="30"/>
  <c r="S102" i="30"/>
  <c r="R102" i="30"/>
  <c r="R101" i="30" s="1"/>
  <c r="Q102" i="30"/>
  <c r="P102" i="30"/>
  <c r="O102" i="30"/>
  <c r="N102" i="30"/>
  <c r="N101" i="30" s="1"/>
  <c r="C102" i="30"/>
  <c r="K99" i="30"/>
  <c r="K98" i="30" s="1"/>
  <c r="W98" i="30"/>
  <c r="V98" i="30"/>
  <c r="U98" i="30"/>
  <c r="T98" i="30"/>
  <c r="S98" i="30"/>
  <c r="R98" i="30"/>
  <c r="Q98" i="30"/>
  <c r="P98" i="30"/>
  <c r="O98" i="30"/>
  <c r="N98" i="30"/>
  <c r="M98" i="30"/>
  <c r="L98" i="30"/>
  <c r="C98" i="30"/>
  <c r="N97" i="30"/>
  <c r="N95" i="30" s="1"/>
  <c r="X96" i="30"/>
  <c r="K96" i="30"/>
  <c r="W95" i="30"/>
  <c r="V95" i="30"/>
  <c r="U95" i="30"/>
  <c r="T95" i="30"/>
  <c r="S95" i="30"/>
  <c r="R95" i="30"/>
  <c r="Q95" i="30"/>
  <c r="P95" i="30"/>
  <c r="O95" i="30"/>
  <c r="M95" i="30"/>
  <c r="L95" i="30"/>
  <c r="C95" i="30"/>
  <c r="K94" i="30"/>
  <c r="K93" i="30" s="1"/>
  <c r="W93" i="30"/>
  <c r="V93" i="30"/>
  <c r="U93" i="30"/>
  <c r="T93" i="30"/>
  <c r="S93" i="30"/>
  <c r="R93" i="30"/>
  <c r="Q93" i="30"/>
  <c r="P93" i="30"/>
  <c r="O93" i="30"/>
  <c r="N93" i="30"/>
  <c r="M93" i="30"/>
  <c r="L93" i="30"/>
  <c r="C93" i="30"/>
  <c r="K92" i="30"/>
  <c r="K91" i="30" s="1"/>
  <c r="W91" i="30"/>
  <c r="V91" i="30"/>
  <c r="U91" i="30"/>
  <c r="T91" i="30"/>
  <c r="S91" i="30"/>
  <c r="R91" i="30"/>
  <c r="Q91" i="30"/>
  <c r="P91" i="30"/>
  <c r="O91" i="30"/>
  <c r="N91" i="30"/>
  <c r="M91" i="30"/>
  <c r="L91" i="30"/>
  <c r="C91" i="30"/>
  <c r="X90" i="30"/>
  <c r="L90" i="30"/>
  <c r="X88" i="30"/>
  <c r="X87" i="30" s="1"/>
  <c r="X78" i="30" s="1"/>
  <c r="U88" i="30"/>
  <c r="U87" i="30" s="1"/>
  <c r="W87" i="30"/>
  <c r="V87" i="30"/>
  <c r="T87" i="30"/>
  <c r="S87" i="30"/>
  <c r="R87" i="30"/>
  <c r="Q87" i="30"/>
  <c r="P87" i="30"/>
  <c r="O87" i="30"/>
  <c r="N87" i="30"/>
  <c r="M87" i="30"/>
  <c r="L87" i="30"/>
  <c r="K87" i="30"/>
  <c r="C87" i="30"/>
  <c r="X86" i="30"/>
  <c r="M86" i="30"/>
  <c r="M85" i="30" s="1"/>
  <c r="W85" i="30"/>
  <c r="V85" i="30"/>
  <c r="U85" i="30"/>
  <c r="T85" i="30"/>
  <c r="S85" i="30"/>
  <c r="R85" i="30"/>
  <c r="Q85" i="30"/>
  <c r="P85" i="30"/>
  <c r="O85" i="30"/>
  <c r="N85" i="30"/>
  <c r="L85" i="30"/>
  <c r="K85" i="30"/>
  <c r="C85" i="30"/>
  <c r="X84" i="30"/>
  <c r="S84" i="30"/>
  <c r="K84" i="30"/>
  <c r="X83" i="30"/>
  <c r="S83" i="30"/>
  <c r="L83" i="30"/>
  <c r="K83" i="30" s="1"/>
  <c r="W82" i="30"/>
  <c r="V82" i="30"/>
  <c r="U82" i="30"/>
  <c r="T82" i="30"/>
  <c r="R82" i="30"/>
  <c r="Q82" i="30"/>
  <c r="P82" i="30"/>
  <c r="O82" i="30"/>
  <c r="N82" i="30"/>
  <c r="M82" i="30"/>
  <c r="C82" i="30"/>
  <c r="X81" i="30"/>
  <c r="K81" i="30"/>
  <c r="X80" i="30"/>
  <c r="K80" i="30"/>
  <c r="W79" i="30"/>
  <c r="V79" i="30"/>
  <c r="U79" i="30"/>
  <c r="T79" i="30"/>
  <c r="S79" i="30"/>
  <c r="R79" i="30"/>
  <c r="Q79" i="30"/>
  <c r="P79" i="30"/>
  <c r="O79" i="30"/>
  <c r="N79" i="30"/>
  <c r="M79" i="30"/>
  <c r="L79" i="30"/>
  <c r="C79" i="30"/>
  <c r="K76" i="30"/>
  <c r="X75" i="30"/>
  <c r="K75" i="30"/>
  <c r="X74" i="30"/>
  <c r="K74" i="30"/>
  <c r="X73" i="30"/>
  <c r="K73" i="30"/>
  <c r="X72" i="30"/>
  <c r="S72" i="30"/>
  <c r="L72" i="30"/>
  <c r="K72" i="30" s="1"/>
  <c r="X71" i="30"/>
  <c r="S71" i="30"/>
  <c r="K71" i="30"/>
  <c r="W70" i="30"/>
  <c r="V70" i="30"/>
  <c r="U70" i="30"/>
  <c r="T70" i="30"/>
  <c r="R70" i="30"/>
  <c r="Q70" i="30"/>
  <c r="P70" i="30"/>
  <c r="O70" i="30"/>
  <c r="N70" i="30"/>
  <c r="M70" i="30"/>
  <c r="L70" i="30"/>
  <c r="C70" i="30"/>
  <c r="K69" i="30"/>
  <c r="X68" i="30"/>
  <c r="K68" i="30"/>
  <c r="X67" i="30"/>
  <c r="U67" i="30"/>
  <c r="S67" i="30"/>
  <c r="S66" i="30" s="1"/>
  <c r="K67" i="30"/>
  <c r="W66" i="30"/>
  <c r="V66" i="30"/>
  <c r="U66" i="30"/>
  <c r="T66" i="30"/>
  <c r="R66" i="30"/>
  <c r="Q66" i="30"/>
  <c r="P66" i="30"/>
  <c r="O66" i="30"/>
  <c r="N66" i="30"/>
  <c r="M66" i="30"/>
  <c r="L66" i="30"/>
  <c r="C66" i="30"/>
  <c r="K65" i="30"/>
  <c r="X64" i="30"/>
  <c r="K64" i="30"/>
  <c r="X63" i="30"/>
  <c r="K63" i="30"/>
  <c r="X62" i="30"/>
  <c r="U62" i="30"/>
  <c r="K62" i="30"/>
  <c r="X61" i="30"/>
  <c r="U61" i="30"/>
  <c r="K61" i="30"/>
  <c r="W60" i="30"/>
  <c r="V60" i="30"/>
  <c r="T60" i="30"/>
  <c r="S60" i="30"/>
  <c r="R60" i="30"/>
  <c r="R59" i="30" s="1"/>
  <c r="Q60" i="30"/>
  <c r="P60" i="30"/>
  <c r="O60" i="30"/>
  <c r="N60" i="30"/>
  <c r="M60" i="30"/>
  <c r="L60" i="30"/>
  <c r="C60" i="30"/>
  <c r="W59" i="30"/>
  <c r="X57" i="30"/>
  <c r="X56" i="30" s="1"/>
  <c r="K57" i="30"/>
  <c r="K56" i="30" s="1"/>
  <c r="W56" i="30"/>
  <c r="V56" i="30"/>
  <c r="U56" i="30"/>
  <c r="T56" i="30"/>
  <c r="S56" i="30"/>
  <c r="R56" i="30"/>
  <c r="Q56" i="30"/>
  <c r="O56" i="30"/>
  <c r="N56" i="30"/>
  <c r="M56" i="30"/>
  <c r="L56" i="30"/>
  <c r="C56" i="30"/>
  <c r="X55" i="30"/>
  <c r="X54" i="30" s="1"/>
  <c r="K55" i="30"/>
  <c r="K54" i="30" s="1"/>
  <c r="W54" i="30"/>
  <c r="V54" i="30"/>
  <c r="U54" i="30"/>
  <c r="T54" i="30"/>
  <c r="S54" i="30"/>
  <c r="R54" i="30"/>
  <c r="Q54" i="30"/>
  <c r="Q53" i="30" s="1"/>
  <c r="P54" i="30"/>
  <c r="P53" i="30" s="1"/>
  <c r="O54" i="30"/>
  <c r="N54" i="30"/>
  <c r="M54" i="30"/>
  <c r="L54" i="30"/>
  <c r="L53" i="30" s="1"/>
  <c r="C54" i="30"/>
  <c r="V53" i="30"/>
  <c r="U53" i="30"/>
  <c r="X51" i="30"/>
  <c r="X50" i="30" s="1"/>
  <c r="K51" i="30"/>
  <c r="K50" i="30" s="1"/>
  <c r="W50" i="30"/>
  <c r="V50" i="30"/>
  <c r="U50" i="30"/>
  <c r="T50" i="30"/>
  <c r="S50" i="30"/>
  <c r="R50" i="30"/>
  <c r="Q50" i="30"/>
  <c r="O50" i="30"/>
  <c r="N50" i="30"/>
  <c r="M50" i="30"/>
  <c r="L50" i="30"/>
  <c r="C50" i="30"/>
  <c r="X49" i="30"/>
  <c r="X48" i="30" s="1"/>
  <c r="K49" i="30"/>
  <c r="K48" i="30" s="1"/>
  <c r="W48" i="30"/>
  <c r="V48" i="30"/>
  <c r="U48" i="30"/>
  <c r="T48" i="30"/>
  <c r="S48" i="30"/>
  <c r="R48" i="30"/>
  <c r="Q48" i="30"/>
  <c r="O48" i="30"/>
  <c r="N48" i="30"/>
  <c r="M48" i="30"/>
  <c r="L48" i="30"/>
  <c r="C48" i="30"/>
  <c r="X47" i="30"/>
  <c r="X46" i="30" s="1"/>
  <c r="K47" i="30"/>
  <c r="K46" i="30" s="1"/>
  <c r="W46" i="30"/>
  <c r="V46" i="30"/>
  <c r="U46" i="30"/>
  <c r="T46" i="30"/>
  <c r="S46" i="30"/>
  <c r="R46" i="30"/>
  <c r="Q46" i="30"/>
  <c r="O46" i="30"/>
  <c r="N46" i="30"/>
  <c r="M46" i="30"/>
  <c r="L46" i="30"/>
  <c r="C46" i="30"/>
  <c r="X45" i="30"/>
  <c r="X44" i="30" s="1"/>
  <c r="K45" i="30"/>
  <c r="K44" i="30" s="1"/>
  <c r="W44" i="30"/>
  <c r="V44" i="30"/>
  <c r="U44" i="30"/>
  <c r="T44" i="30"/>
  <c r="S44" i="30"/>
  <c r="R44" i="30"/>
  <c r="Q44" i="30"/>
  <c r="O44" i="30"/>
  <c r="N44" i="30"/>
  <c r="M44" i="30"/>
  <c r="L44" i="30"/>
  <c r="C44" i="30"/>
  <c r="X43" i="30"/>
  <c r="X42" i="30" s="1"/>
  <c r="K43" i="30"/>
  <c r="K42" i="30" s="1"/>
  <c r="W42" i="30"/>
  <c r="V42" i="30"/>
  <c r="U42" i="30"/>
  <c r="T42" i="30"/>
  <c r="S42" i="30"/>
  <c r="R42" i="30"/>
  <c r="Q42" i="30"/>
  <c r="O42" i="30"/>
  <c r="N42" i="30"/>
  <c r="M42" i="30"/>
  <c r="L42" i="30"/>
  <c r="C42" i="30"/>
  <c r="X41" i="30"/>
  <c r="K41" i="30"/>
  <c r="K40" i="30" s="1"/>
  <c r="X40" i="30"/>
  <c r="W40" i="30"/>
  <c r="V40" i="30"/>
  <c r="U40" i="30"/>
  <c r="T40" i="30"/>
  <c r="S40" i="30"/>
  <c r="R40" i="30"/>
  <c r="Q40" i="30"/>
  <c r="O40" i="30"/>
  <c r="N40" i="30"/>
  <c r="M40" i="30"/>
  <c r="L40" i="30"/>
  <c r="C40" i="30"/>
  <c r="X39" i="30"/>
  <c r="X38" i="30" s="1"/>
  <c r="K39" i="30"/>
  <c r="K38" i="30" s="1"/>
  <c r="W38" i="30"/>
  <c r="V38" i="30"/>
  <c r="U38" i="30"/>
  <c r="T38" i="30"/>
  <c r="S38" i="30"/>
  <c r="R38" i="30"/>
  <c r="Q38" i="30"/>
  <c r="P38" i="30"/>
  <c r="P37" i="30" s="1"/>
  <c r="O38" i="30"/>
  <c r="N38" i="30"/>
  <c r="N37" i="30" s="1"/>
  <c r="M38" i="30"/>
  <c r="L38" i="30"/>
  <c r="C38" i="30"/>
  <c r="X35" i="30"/>
  <c r="K35" i="30"/>
  <c r="X34" i="30"/>
  <c r="K34" i="30"/>
  <c r="K33" i="30" s="1"/>
  <c r="W33" i="30"/>
  <c r="V33" i="30"/>
  <c r="U33" i="30"/>
  <c r="T33" i="30"/>
  <c r="S33" i="30"/>
  <c r="R33" i="30"/>
  <c r="Q33" i="30"/>
  <c r="P33" i="30"/>
  <c r="O33" i="30"/>
  <c r="N33" i="30"/>
  <c r="M33" i="30"/>
  <c r="L33" i="30"/>
  <c r="C33" i="30"/>
  <c r="X32" i="30"/>
  <c r="X31" i="30"/>
  <c r="W30" i="30"/>
  <c r="V30" i="30"/>
  <c r="U30" i="30"/>
  <c r="T30" i="30"/>
  <c r="S30" i="30"/>
  <c r="R30" i="30"/>
  <c r="Q30" i="30"/>
  <c r="P30" i="30"/>
  <c r="O30" i="30"/>
  <c r="N30" i="30"/>
  <c r="M30" i="30"/>
  <c r="L30" i="30"/>
  <c r="K30" i="30"/>
  <c r="C30" i="30"/>
  <c r="X29" i="30"/>
  <c r="X28" i="30" s="1"/>
  <c r="K29" i="30"/>
  <c r="K28" i="30" s="1"/>
  <c r="W28" i="30"/>
  <c r="V28" i="30"/>
  <c r="U28" i="30"/>
  <c r="T28" i="30"/>
  <c r="S28" i="30"/>
  <c r="R28" i="30"/>
  <c r="Q28" i="30"/>
  <c r="P28" i="30"/>
  <c r="O28" i="30"/>
  <c r="N28" i="30"/>
  <c r="M28" i="30"/>
  <c r="L28" i="30"/>
  <c r="C28" i="30"/>
  <c r="X27" i="30"/>
  <c r="X26" i="30" s="1"/>
  <c r="K27" i="30"/>
  <c r="K26" i="30" s="1"/>
  <c r="W26" i="30"/>
  <c r="V26" i="30"/>
  <c r="U26" i="30"/>
  <c r="U25" i="30" s="1"/>
  <c r="T26" i="30"/>
  <c r="S26" i="30"/>
  <c r="R26" i="30"/>
  <c r="Q26" i="30"/>
  <c r="P26" i="30"/>
  <c r="O26" i="30"/>
  <c r="N26" i="30"/>
  <c r="M26" i="30"/>
  <c r="M25" i="30" s="1"/>
  <c r="L26" i="30"/>
  <c r="C26" i="30"/>
  <c r="K22" i="30"/>
  <c r="K21" i="30"/>
  <c r="K20" i="30"/>
  <c r="X19" i="30"/>
  <c r="X18" i="30" s="1"/>
  <c r="U19" i="30"/>
  <c r="U18" i="30" s="1"/>
  <c r="K19" i="30"/>
  <c r="W18" i="30"/>
  <c r="V18" i="30"/>
  <c r="T18" i="30"/>
  <c r="S18" i="30"/>
  <c r="R18" i="30"/>
  <c r="Q18" i="30"/>
  <c r="P18" i="30"/>
  <c r="O18" i="30"/>
  <c r="N18" i="30"/>
  <c r="M18" i="30"/>
  <c r="L18" i="30"/>
  <c r="C18" i="30"/>
  <c r="X17" i="30"/>
  <c r="U17" i="30"/>
  <c r="K17" i="30"/>
  <c r="X16" i="30"/>
  <c r="U16" i="30"/>
  <c r="Q16" i="30"/>
  <c r="Q14" i="30" s="1"/>
  <c r="Q13" i="30" s="1"/>
  <c r="K16" i="30"/>
  <c r="X15" i="30"/>
  <c r="U15" i="30"/>
  <c r="K15" i="30"/>
  <c r="W14" i="30"/>
  <c r="V14" i="30"/>
  <c r="T14" i="30"/>
  <c r="S14" i="30"/>
  <c r="R14" i="30"/>
  <c r="P14" i="30"/>
  <c r="O14" i="30"/>
  <c r="O13" i="30" s="1"/>
  <c r="N14" i="30"/>
  <c r="M14" i="30"/>
  <c r="L14" i="30"/>
  <c r="C14" i="30"/>
  <c r="N11" i="30"/>
  <c r="M11" i="30"/>
  <c r="A3" i="30"/>
  <c r="A4" i="12"/>
  <c r="A6" i="21"/>
  <c r="C300" i="12"/>
  <c r="C299" i="12" s="1"/>
  <c r="L300" i="12"/>
  <c r="M300" i="12"/>
  <c r="N300" i="12"/>
  <c r="O300" i="12"/>
  <c r="Q300" i="12"/>
  <c r="R300" i="12"/>
  <c r="S300" i="12"/>
  <c r="T300" i="12"/>
  <c r="U300" i="12"/>
  <c r="K300" i="12"/>
  <c r="M13" i="30" l="1"/>
  <c r="V13" i="30"/>
  <c r="S25" i="30"/>
  <c r="M53" i="30"/>
  <c r="N53" i="30"/>
  <c r="W53" i="30"/>
  <c r="T78" i="30"/>
  <c r="T90" i="30"/>
  <c r="K14" i="30"/>
  <c r="O25" i="30"/>
  <c r="W25" i="30"/>
  <c r="X30" i="30"/>
  <c r="C59" i="30"/>
  <c r="K79" i="30"/>
  <c r="L11" i="30"/>
  <c r="P13" i="30"/>
  <c r="Q25" i="30"/>
  <c r="X33" i="30"/>
  <c r="L59" i="30"/>
  <c r="U60" i="30"/>
  <c r="U59" i="30" s="1"/>
  <c r="U24" i="30" s="1"/>
  <c r="Q78" i="30"/>
  <c r="L82" i="30"/>
  <c r="M90" i="30"/>
  <c r="Q90" i="30"/>
  <c r="U90" i="30"/>
  <c r="P101" i="30"/>
  <c r="M101" i="30"/>
  <c r="N13" i="30"/>
  <c r="R13" i="30"/>
  <c r="W13" i="30"/>
  <c r="Q59" i="30"/>
  <c r="X60" i="30"/>
  <c r="X59" i="30" s="1"/>
  <c r="O59" i="30"/>
  <c r="V90" i="30"/>
  <c r="P90" i="30"/>
  <c r="Q101" i="30"/>
  <c r="C101" i="30"/>
  <c r="L78" i="30"/>
  <c r="K299" i="12"/>
  <c r="N299" i="12"/>
  <c r="V37" i="30"/>
  <c r="X101" i="30"/>
  <c r="C13" i="30"/>
  <c r="S13" i="30"/>
  <c r="O37" i="30"/>
  <c r="W37" i="30"/>
  <c r="C53" i="30"/>
  <c r="S53" i="30"/>
  <c r="T59" i="30"/>
  <c r="X66" i="30"/>
  <c r="M78" i="30"/>
  <c r="U78" i="30"/>
  <c r="T101" i="30"/>
  <c r="M37" i="30"/>
  <c r="L13" i="30"/>
  <c r="T13" i="30"/>
  <c r="T53" i="30"/>
  <c r="U37" i="30"/>
  <c r="O78" i="30"/>
  <c r="W101" i="30"/>
  <c r="K66" i="30"/>
  <c r="P78" i="30"/>
  <c r="K82" i="30"/>
  <c r="K78" i="30" s="1"/>
  <c r="K103" i="30"/>
  <c r="K102" i="30" s="1"/>
  <c r="O101" i="30"/>
  <c r="P59" i="30"/>
  <c r="K60" i="30"/>
  <c r="X70" i="30"/>
  <c r="S82" i="30"/>
  <c r="S78" i="30" s="1"/>
  <c r="U14" i="30"/>
  <c r="U13" i="30" s="1"/>
  <c r="N25" i="30"/>
  <c r="V25" i="30"/>
  <c r="X37" i="30"/>
  <c r="Q37" i="30"/>
  <c r="Q24" i="30" s="1"/>
  <c r="Q12" i="30" s="1"/>
  <c r="R53" i="30"/>
  <c r="S90" i="30"/>
  <c r="R37" i="30"/>
  <c r="O90" i="30"/>
  <c r="W90" i="30"/>
  <c r="K101" i="30"/>
  <c r="P25" i="30"/>
  <c r="K25" i="30"/>
  <c r="C37" i="30"/>
  <c r="S37" i="30"/>
  <c r="K70" i="30"/>
  <c r="L37" i="30"/>
  <c r="T37" i="30"/>
  <c r="S70" i="30"/>
  <c r="S59" i="30" s="1"/>
  <c r="R78" i="30"/>
  <c r="S101" i="30"/>
  <c r="X14" i="30"/>
  <c r="X13" i="30" s="1"/>
  <c r="X12" i="30" s="1"/>
  <c r="M59" i="30"/>
  <c r="V59" i="30"/>
  <c r="C78" i="30"/>
  <c r="W78" i="30"/>
  <c r="R90" i="30"/>
  <c r="K18" i="30"/>
  <c r="K13" i="30" s="1"/>
  <c r="C25" i="30"/>
  <c r="R25" i="30"/>
  <c r="O53" i="30"/>
  <c r="N59" i="30"/>
  <c r="C90" i="30"/>
  <c r="L25" i="30"/>
  <c r="T25" i="30"/>
  <c r="N78" i="30"/>
  <c r="V78" i="30"/>
  <c r="K53" i="30"/>
  <c r="N90" i="30"/>
  <c r="V24" i="30"/>
  <c r="V12" i="30" s="1"/>
  <c r="K37" i="30"/>
  <c r="U101" i="30"/>
  <c r="L104" i="30"/>
  <c r="L101" i="30" s="1"/>
  <c r="K97" i="30"/>
  <c r="K95" i="30" s="1"/>
  <c r="K90" i="30" s="1"/>
  <c r="U299" i="12"/>
  <c r="M299" i="12"/>
  <c r="M30" i="12" s="1"/>
  <c r="T299" i="12"/>
  <c r="T30" i="12" s="1"/>
  <c r="L299" i="12"/>
  <c r="S299" i="12"/>
  <c r="S30" i="12" s="1"/>
  <c r="R299" i="12"/>
  <c r="R30" i="12" s="1"/>
  <c r="Q299" i="12"/>
  <c r="Q30" i="12" s="1"/>
  <c r="O299" i="12"/>
  <c r="O30" i="12" s="1"/>
  <c r="C29" i="29"/>
  <c r="C24" i="29"/>
  <c r="C28" i="29"/>
  <c r="C19" i="29"/>
  <c r="C15" i="29"/>
  <c r="M41" i="21"/>
  <c r="E41" i="21"/>
  <c r="B37" i="12"/>
  <c r="C37" i="12"/>
  <c r="M37" i="12"/>
  <c r="N37" i="12"/>
  <c r="O37" i="12"/>
  <c r="Q37" i="12"/>
  <c r="R37" i="12"/>
  <c r="S37" i="12"/>
  <c r="T37" i="12"/>
  <c r="U37" i="12"/>
  <c r="B38" i="12"/>
  <c r="C38" i="12"/>
  <c r="M38" i="12"/>
  <c r="N38" i="12"/>
  <c r="O38" i="12"/>
  <c r="Q38" i="12"/>
  <c r="R38" i="12"/>
  <c r="S38" i="12"/>
  <c r="T38" i="12"/>
  <c r="U38" i="12"/>
  <c r="B39" i="12"/>
  <c r="C39" i="12"/>
  <c r="M39" i="12"/>
  <c r="N39" i="12"/>
  <c r="O39" i="12"/>
  <c r="Q39" i="12"/>
  <c r="R39" i="12"/>
  <c r="S39" i="12"/>
  <c r="T39" i="12"/>
  <c r="U39" i="12"/>
  <c r="B40" i="12"/>
  <c r="B41" i="12"/>
  <c r="B42" i="12"/>
  <c r="B43" i="12"/>
  <c r="B44" i="12"/>
  <c r="P371" i="12"/>
  <c r="P370" i="12"/>
  <c r="P369" i="12" s="1"/>
  <c r="P368" i="12" s="1"/>
  <c r="P34" i="12" s="1"/>
  <c r="U369" i="12"/>
  <c r="U368" i="12" s="1"/>
  <c r="U34" i="12" s="1"/>
  <c r="T369" i="12"/>
  <c r="T368" i="12" s="1"/>
  <c r="T34" i="12" s="1"/>
  <c r="S369" i="12"/>
  <c r="S368" i="12" s="1"/>
  <c r="S34" i="12" s="1"/>
  <c r="R369" i="12"/>
  <c r="R368" i="12" s="1"/>
  <c r="R34" i="12" s="1"/>
  <c r="Q369" i="12"/>
  <c r="Q368" i="12" s="1"/>
  <c r="Q34" i="12" s="1"/>
  <c r="O369" i="12"/>
  <c r="O368" i="12" s="1"/>
  <c r="O34" i="12" s="1"/>
  <c r="N369" i="12"/>
  <c r="N368" i="12" s="1"/>
  <c r="N34" i="12" s="1"/>
  <c r="M369" i="12"/>
  <c r="M368" i="12" s="1"/>
  <c r="M34" i="12" s="1"/>
  <c r="L369" i="12"/>
  <c r="L368" i="12" s="1"/>
  <c r="K369" i="12"/>
  <c r="K368" i="12" s="1"/>
  <c r="C369" i="12"/>
  <c r="C368" i="12" s="1"/>
  <c r="C34" i="12" s="1"/>
  <c r="P367" i="12"/>
  <c r="P366" i="12"/>
  <c r="P365" i="12"/>
  <c r="P364" i="12"/>
  <c r="U363" i="12"/>
  <c r="T363" i="12"/>
  <c r="S363" i="12"/>
  <c r="R363" i="12"/>
  <c r="Q363" i="12"/>
  <c r="O363" i="12"/>
  <c r="N363" i="12"/>
  <c r="M363" i="12"/>
  <c r="L363" i="12"/>
  <c r="K363" i="12"/>
  <c r="C363" i="12"/>
  <c r="P362" i="12"/>
  <c r="P361" i="12"/>
  <c r="U360" i="12"/>
  <c r="T360" i="12"/>
  <c r="S360" i="12"/>
  <c r="R360" i="12"/>
  <c r="Q360" i="12"/>
  <c r="O360" i="12"/>
  <c r="N360" i="12"/>
  <c r="M360" i="12"/>
  <c r="L360" i="12"/>
  <c r="K360" i="12"/>
  <c r="C360" i="12"/>
  <c r="P357" i="12"/>
  <c r="P356" i="12"/>
  <c r="P355" i="12"/>
  <c r="P354" i="12"/>
  <c r="P353" i="12"/>
  <c r="P352" i="12"/>
  <c r="P351" i="12"/>
  <c r="P350" i="12"/>
  <c r="P349" i="12"/>
  <c r="U348" i="12"/>
  <c r="T348" i="12"/>
  <c r="S348" i="12"/>
  <c r="R348" i="12"/>
  <c r="Q348" i="12"/>
  <c r="O348" i="12"/>
  <c r="N348" i="12"/>
  <c r="M348" i="12"/>
  <c r="L348" i="12"/>
  <c r="K348" i="12"/>
  <c r="C348" i="12"/>
  <c r="P347" i="12"/>
  <c r="P346" i="12"/>
  <c r="P345" i="12"/>
  <c r="P344" i="12"/>
  <c r="P342" i="12"/>
  <c r="P341" i="12"/>
  <c r="U340" i="12"/>
  <c r="T340" i="12"/>
  <c r="S340" i="12"/>
  <c r="R340" i="12"/>
  <c r="Q340" i="12"/>
  <c r="O340" i="12"/>
  <c r="N340" i="12"/>
  <c r="M340" i="12"/>
  <c r="L340" i="12"/>
  <c r="K340" i="12"/>
  <c r="C340" i="12"/>
  <c r="P338" i="12"/>
  <c r="P337" i="12"/>
  <c r="P336" i="12"/>
  <c r="P335" i="12"/>
  <c r="P334" i="12"/>
  <c r="P333" i="12"/>
  <c r="P332" i="12"/>
  <c r="P331" i="12"/>
  <c r="P330" i="12"/>
  <c r="P329" i="12"/>
  <c r="U328" i="12"/>
  <c r="T328" i="12"/>
  <c r="S328" i="12"/>
  <c r="R328" i="12"/>
  <c r="Q328" i="12"/>
  <c r="O328" i="12"/>
  <c r="N328" i="12"/>
  <c r="M328" i="12"/>
  <c r="M43" i="12" s="1"/>
  <c r="L328" i="12"/>
  <c r="K328" i="12"/>
  <c r="C328" i="12"/>
  <c r="P327" i="12"/>
  <c r="P326" i="12"/>
  <c r="P325" i="12"/>
  <c r="P324" i="12"/>
  <c r="U323" i="12"/>
  <c r="T323" i="12"/>
  <c r="S323" i="12"/>
  <c r="R323" i="12"/>
  <c r="Q323" i="12"/>
  <c r="O323" i="12"/>
  <c r="N323" i="12"/>
  <c r="M323" i="12"/>
  <c r="L323" i="12"/>
  <c r="K323" i="12"/>
  <c r="C323" i="12"/>
  <c r="P321" i="12"/>
  <c r="P320" i="12"/>
  <c r="P319" i="12"/>
  <c r="P318" i="12"/>
  <c r="P317" i="12"/>
  <c r="P316" i="12"/>
  <c r="U315" i="12"/>
  <c r="U314" i="12" s="1"/>
  <c r="T315" i="12"/>
  <c r="T314" i="12" s="1"/>
  <c r="S315" i="12"/>
  <c r="S314" i="12" s="1"/>
  <c r="R315" i="12"/>
  <c r="R314" i="12" s="1"/>
  <c r="Q315" i="12"/>
  <c r="Q314" i="12" s="1"/>
  <c r="O315" i="12"/>
  <c r="O314" i="12" s="1"/>
  <c r="N315" i="12"/>
  <c r="N314" i="12" s="1"/>
  <c r="M315" i="12"/>
  <c r="M314" i="12" s="1"/>
  <c r="L315" i="12"/>
  <c r="L314" i="12" s="1"/>
  <c r="K315" i="12"/>
  <c r="K314" i="12" s="1"/>
  <c r="C315" i="12"/>
  <c r="C314" i="12" s="1"/>
  <c r="P310" i="12"/>
  <c r="P309" i="12" s="1"/>
  <c r="P308" i="12" s="1"/>
  <c r="P31" i="12" s="1"/>
  <c r="P307" i="12"/>
  <c r="P306" i="12"/>
  <c r="P302" i="12"/>
  <c r="P301" i="12"/>
  <c r="P298" i="12"/>
  <c r="R297" i="12"/>
  <c r="Q297" i="12"/>
  <c r="O297" i="12"/>
  <c r="N297" i="12"/>
  <c r="M297" i="12"/>
  <c r="L297" i="12"/>
  <c r="K297" i="12"/>
  <c r="C297" i="12"/>
  <c r="P296" i="12"/>
  <c r="P295" i="12" s="1"/>
  <c r="U295" i="12"/>
  <c r="U294" i="12" s="1"/>
  <c r="T295" i="12"/>
  <c r="T294" i="12" s="1"/>
  <c r="S295" i="12"/>
  <c r="S294" i="12" s="1"/>
  <c r="R295" i="12"/>
  <c r="Q295" i="12"/>
  <c r="O295" i="12"/>
  <c r="N295" i="12"/>
  <c r="M295" i="12"/>
  <c r="L295" i="12"/>
  <c r="K295" i="12"/>
  <c r="C295" i="12"/>
  <c r="P293" i="12"/>
  <c r="P292" i="12"/>
  <c r="P291" i="12"/>
  <c r="U290" i="12"/>
  <c r="U283" i="12" s="1"/>
  <c r="T290" i="12"/>
  <c r="T283" i="12" s="1"/>
  <c r="S290" i="12"/>
  <c r="S283" i="12" s="1"/>
  <c r="R290" i="12"/>
  <c r="R283" i="12" s="1"/>
  <c r="Q290" i="12"/>
  <c r="Q283" i="12" s="1"/>
  <c r="O290" i="12"/>
  <c r="O283" i="12" s="1"/>
  <c r="N290" i="12"/>
  <c r="N283" i="12" s="1"/>
  <c r="M290" i="12"/>
  <c r="M283" i="12" s="1"/>
  <c r="L290" i="12"/>
  <c r="L283" i="12" s="1"/>
  <c r="K290" i="12"/>
  <c r="K283" i="12" s="1"/>
  <c r="C290" i="12"/>
  <c r="C283" i="12" s="1"/>
  <c r="P289" i="12"/>
  <c r="P288" i="12"/>
  <c r="P287" i="12"/>
  <c r="P286" i="12"/>
  <c r="P285" i="12"/>
  <c r="P284" i="12"/>
  <c r="P282" i="12"/>
  <c r="P281" i="12"/>
  <c r="P280" i="12"/>
  <c r="P279" i="12"/>
  <c r="P278" i="12"/>
  <c r="U277" i="12"/>
  <c r="U275" i="12" s="1"/>
  <c r="T277" i="12"/>
  <c r="T275" i="12" s="1"/>
  <c r="S277" i="12"/>
  <c r="S275" i="12" s="1"/>
  <c r="R277" i="12"/>
  <c r="R275" i="12" s="1"/>
  <c r="Q277" i="12"/>
  <c r="O277" i="12"/>
  <c r="O275" i="12" s="1"/>
  <c r="N277" i="12"/>
  <c r="N275" i="12" s="1"/>
  <c r="M277" i="12"/>
  <c r="M275" i="12" s="1"/>
  <c r="L277" i="12"/>
  <c r="L275" i="12" s="1"/>
  <c r="K277" i="12"/>
  <c r="K275" i="12" s="1"/>
  <c r="C277" i="12"/>
  <c r="C275" i="12" s="1"/>
  <c r="P276" i="12"/>
  <c r="Q275" i="12"/>
  <c r="P274" i="12"/>
  <c r="P273" i="12" s="1"/>
  <c r="P271" i="12"/>
  <c r="P270" i="12"/>
  <c r="U269" i="12"/>
  <c r="U40" i="12" s="1"/>
  <c r="T269" i="12"/>
  <c r="T40" i="12" s="1"/>
  <c r="S269" i="12"/>
  <c r="S40" i="12" s="1"/>
  <c r="R269" i="12"/>
  <c r="R262" i="12" s="1"/>
  <c r="Q269" i="12"/>
  <c r="Q262" i="12" s="1"/>
  <c r="O269" i="12"/>
  <c r="O262" i="12" s="1"/>
  <c r="N269" i="12"/>
  <c r="N262" i="12" s="1"/>
  <c r="M269" i="12"/>
  <c r="M40" i="12" s="1"/>
  <c r="L269" i="12"/>
  <c r="L262" i="12" s="1"/>
  <c r="K269" i="12"/>
  <c r="K262" i="12" s="1"/>
  <c r="C269" i="12"/>
  <c r="C262" i="12" s="1"/>
  <c r="P268" i="12"/>
  <c r="P267" i="12"/>
  <c r="P266" i="12"/>
  <c r="P264" i="12"/>
  <c r="P263" i="12"/>
  <c r="T262" i="12"/>
  <c r="P261" i="12"/>
  <c r="P260" i="12" s="1"/>
  <c r="P259" i="12"/>
  <c r="P258" i="12"/>
  <c r="P257" i="12"/>
  <c r="P256" i="12"/>
  <c r="P39" i="12" s="1"/>
  <c r="U255" i="12"/>
  <c r="T255" i="12"/>
  <c r="S255" i="12"/>
  <c r="R255" i="12"/>
  <c r="Q255" i="12"/>
  <c r="O255" i="12"/>
  <c r="N255" i="12"/>
  <c r="M255" i="12"/>
  <c r="L255" i="12"/>
  <c r="K255" i="12"/>
  <c r="C255" i="12"/>
  <c r="P254" i="12"/>
  <c r="P253" i="12"/>
  <c r="P252" i="12"/>
  <c r="M252" i="12"/>
  <c r="M251" i="12" s="1"/>
  <c r="U251" i="12"/>
  <c r="T251" i="12"/>
  <c r="S251" i="12"/>
  <c r="R251" i="12"/>
  <c r="Q251" i="12"/>
  <c r="O251" i="12"/>
  <c r="N251" i="12"/>
  <c r="L251" i="12"/>
  <c r="K251" i="12"/>
  <c r="C251" i="12"/>
  <c r="P247" i="12"/>
  <c r="P245" i="12"/>
  <c r="P244" i="12" s="1"/>
  <c r="P243" i="12"/>
  <c r="P242" i="12" s="1"/>
  <c r="P241" i="12" s="1"/>
  <c r="P240" i="12" s="1"/>
  <c r="P25" i="12" s="1"/>
  <c r="P239" i="12"/>
  <c r="P238" i="12"/>
  <c r="P237" i="12"/>
  <c r="P236" i="12"/>
  <c r="P234" i="12"/>
  <c r="P233" i="12"/>
  <c r="P232" i="12"/>
  <c r="P231" i="12"/>
  <c r="P230" i="12"/>
  <c r="P229" i="12"/>
  <c r="P225" i="12"/>
  <c r="P224" i="12"/>
  <c r="P223" i="12" s="1"/>
  <c r="P217" i="12" s="1"/>
  <c r="P216" i="12" s="1"/>
  <c r="P22" i="12"/>
  <c r="P215" i="12"/>
  <c r="P214" i="12" s="1"/>
  <c r="U214" i="12"/>
  <c r="T214" i="12"/>
  <c r="S214" i="12"/>
  <c r="R214" i="12"/>
  <c r="Q214" i="12"/>
  <c r="O214" i="12"/>
  <c r="N214" i="12"/>
  <c r="M214" i="12"/>
  <c r="L214" i="12"/>
  <c r="K214" i="12"/>
  <c r="C214" i="12"/>
  <c r="P213" i="12"/>
  <c r="P212" i="12"/>
  <c r="P211" i="12"/>
  <c r="P210" i="12"/>
  <c r="U209" i="12"/>
  <c r="T209" i="12"/>
  <c r="S209" i="12"/>
  <c r="R209" i="12"/>
  <c r="Q209" i="12"/>
  <c r="O209" i="12"/>
  <c r="N209" i="12"/>
  <c r="M209" i="12"/>
  <c r="L209" i="12"/>
  <c r="K209" i="12"/>
  <c r="C209" i="12"/>
  <c r="P207" i="12"/>
  <c r="P206" i="12" s="1"/>
  <c r="P205" i="12" s="1"/>
  <c r="P20" i="12" s="1"/>
  <c r="P204" i="12"/>
  <c r="P203" i="12" s="1"/>
  <c r="P202" i="12"/>
  <c r="P201" i="12" s="1"/>
  <c r="P37" i="12" s="1"/>
  <c r="P200" i="12"/>
  <c r="P198" i="12"/>
  <c r="A198" i="12"/>
  <c r="R197" i="12"/>
  <c r="Q197" i="12"/>
  <c r="N197" i="12"/>
  <c r="M197" i="12"/>
  <c r="L197" i="12"/>
  <c r="K197" i="12"/>
  <c r="C197" i="12"/>
  <c r="P196" i="12"/>
  <c r="P195" i="12"/>
  <c r="A195" i="12"/>
  <c r="A196" i="12" s="1"/>
  <c r="R194" i="12"/>
  <c r="Q194" i="12"/>
  <c r="N194" i="12"/>
  <c r="M194" i="12"/>
  <c r="L194" i="12"/>
  <c r="K194" i="12"/>
  <c r="C194" i="12"/>
  <c r="P193" i="12"/>
  <c r="P192" i="12"/>
  <c r="P191" i="12"/>
  <c r="A191" i="12"/>
  <c r="A192" i="12" s="1"/>
  <c r="A193" i="12" s="1"/>
  <c r="R190" i="12"/>
  <c r="Q190" i="12"/>
  <c r="N190" i="12"/>
  <c r="M190" i="12"/>
  <c r="L190" i="12"/>
  <c r="K190" i="12"/>
  <c r="C190" i="12"/>
  <c r="P189" i="12"/>
  <c r="P188" i="12"/>
  <c r="P187" i="12"/>
  <c r="P186" i="12"/>
  <c r="P185" i="12"/>
  <c r="A185" i="12"/>
  <c r="A186" i="12" s="1"/>
  <c r="A187" i="12" s="1"/>
  <c r="A188" i="12" s="1"/>
  <c r="A189" i="12" s="1"/>
  <c r="R184" i="12"/>
  <c r="Q184" i="12"/>
  <c r="N184" i="12"/>
  <c r="M184" i="12"/>
  <c r="L184" i="12"/>
  <c r="K184" i="12"/>
  <c r="C184" i="12"/>
  <c r="P183" i="12"/>
  <c r="A183" i="12"/>
  <c r="R182" i="12"/>
  <c r="Q182" i="12"/>
  <c r="N182" i="12"/>
  <c r="M182" i="12"/>
  <c r="L182" i="12"/>
  <c r="K182" i="12"/>
  <c r="C182" i="12"/>
  <c r="P180" i="12"/>
  <c r="A180" i="12"/>
  <c r="R179" i="12"/>
  <c r="R178" i="12" s="1"/>
  <c r="Q179" i="12"/>
  <c r="N179" i="12"/>
  <c r="N178" i="12" s="1"/>
  <c r="M179" i="12"/>
  <c r="M178" i="12" s="1"/>
  <c r="L179" i="12"/>
  <c r="L178" i="12" s="1"/>
  <c r="K179" i="12"/>
  <c r="K178" i="12" s="1"/>
  <c r="C179" i="12"/>
  <c r="C178" i="12" s="1"/>
  <c r="P176" i="12"/>
  <c r="A176" i="12"/>
  <c r="R175" i="12"/>
  <c r="R174" i="12" s="1"/>
  <c r="R173" i="12" s="1"/>
  <c r="Q175" i="12"/>
  <c r="N175" i="12"/>
  <c r="N174" i="12" s="1"/>
  <c r="N173" i="12" s="1"/>
  <c r="M175" i="12"/>
  <c r="M174" i="12" s="1"/>
  <c r="M173" i="12" s="1"/>
  <c r="L175" i="12"/>
  <c r="L174" i="12" s="1"/>
  <c r="L173" i="12" s="1"/>
  <c r="K175" i="12"/>
  <c r="K174" i="12" s="1"/>
  <c r="K173" i="12" s="1"/>
  <c r="C175" i="12"/>
  <c r="C174" i="12" s="1"/>
  <c r="C173" i="12" s="1"/>
  <c r="P172" i="12"/>
  <c r="P171" i="12"/>
  <c r="A171" i="12"/>
  <c r="A172" i="12" s="1"/>
  <c r="P170" i="12"/>
  <c r="A170" i="12"/>
  <c r="R169" i="12"/>
  <c r="Q169" i="12"/>
  <c r="N169" i="12"/>
  <c r="M169" i="12"/>
  <c r="L169" i="12"/>
  <c r="K169" i="12"/>
  <c r="C169" i="12"/>
  <c r="R168" i="12"/>
  <c r="P168" i="12" s="1"/>
  <c r="P167" i="12"/>
  <c r="P166" i="12"/>
  <c r="P165" i="12"/>
  <c r="P164" i="12"/>
  <c r="P163" i="12"/>
  <c r="P162" i="12"/>
  <c r="P161" i="12"/>
  <c r="A161" i="12"/>
  <c r="A162" i="12" s="1"/>
  <c r="A163" i="12" s="1"/>
  <c r="A164" i="12" s="1"/>
  <c r="A165" i="12" s="1"/>
  <c r="A166" i="12" s="1"/>
  <c r="A167" i="12" s="1"/>
  <c r="A168" i="12" s="1"/>
  <c r="Q160" i="12"/>
  <c r="N160" i="12"/>
  <c r="M160" i="12"/>
  <c r="L160" i="12"/>
  <c r="K160" i="12"/>
  <c r="C160" i="12"/>
  <c r="P159" i="12"/>
  <c r="P158" i="12"/>
  <c r="P157" i="12"/>
  <c r="P156" i="12"/>
  <c r="A156" i="12"/>
  <c r="A157" i="12" s="1"/>
  <c r="A158" i="12" s="1"/>
  <c r="A159" i="12" s="1"/>
  <c r="R155" i="12"/>
  <c r="Q155" i="12"/>
  <c r="N155" i="12"/>
  <c r="M155" i="12"/>
  <c r="L155" i="12"/>
  <c r="K155" i="12"/>
  <c r="C155" i="12"/>
  <c r="P154" i="12"/>
  <c r="M154" i="12"/>
  <c r="M153" i="12" s="1"/>
  <c r="A154" i="12"/>
  <c r="R153" i="12"/>
  <c r="Q153" i="12"/>
  <c r="N153" i="12"/>
  <c r="L153" i="12"/>
  <c r="K153" i="12"/>
  <c r="C153" i="12"/>
  <c r="P152" i="12"/>
  <c r="P151" i="12"/>
  <c r="P150" i="12"/>
  <c r="P149" i="12"/>
  <c r="P148" i="12"/>
  <c r="P147" i="12"/>
  <c r="P146" i="12"/>
  <c r="P145" i="12"/>
  <c r="A145" i="12"/>
  <c r="A146" i="12" s="1"/>
  <c r="A147" i="12" s="1"/>
  <c r="A148" i="12" s="1"/>
  <c r="A149" i="12" s="1"/>
  <c r="A150" i="12" s="1"/>
  <c r="A151" i="12" s="1"/>
  <c r="A152" i="12" s="1"/>
  <c r="R144" i="12"/>
  <c r="Q144" i="12"/>
  <c r="N144" i="12"/>
  <c r="M144" i="12"/>
  <c r="L144" i="12"/>
  <c r="K144" i="12"/>
  <c r="C144" i="12"/>
  <c r="P143" i="12"/>
  <c r="P142" i="12"/>
  <c r="P141" i="12"/>
  <c r="P140" i="12"/>
  <c r="P139" i="12"/>
  <c r="P138" i="12"/>
  <c r="P137" i="12"/>
  <c r="P136" i="12"/>
  <c r="P135" i="12"/>
  <c r="A135" i="12"/>
  <c r="A136" i="12" s="1"/>
  <c r="A137" i="12" s="1"/>
  <c r="A138" i="12" s="1"/>
  <c r="A139" i="12" s="1"/>
  <c r="A140" i="12" s="1"/>
  <c r="A141" i="12" s="1"/>
  <c r="R134" i="12"/>
  <c r="Q134" i="12"/>
  <c r="N134" i="12"/>
  <c r="M134" i="12"/>
  <c r="L134" i="12"/>
  <c r="K134" i="12"/>
  <c r="C134" i="12"/>
  <c r="P133" i="12"/>
  <c r="P132" i="12"/>
  <c r="P131" i="12"/>
  <c r="A131" i="12"/>
  <c r="A132" i="12" s="1"/>
  <c r="A133" i="12" s="1"/>
  <c r="R130" i="12"/>
  <c r="Q130" i="12"/>
  <c r="N130" i="12"/>
  <c r="M130" i="12"/>
  <c r="L130" i="12"/>
  <c r="K130" i="12"/>
  <c r="C130" i="12"/>
  <c r="P129" i="12"/>
  <c r="P128" i="12"/>
  <c r="P127" i="12"/>
  <c r="P126" i="12"/>
  <c r="P125" i="12"/>
  <c r="P124" i="12"/>
  <c r="P123" i="12"/>
  <c r="P122" i="12"/>
  <c r="A122" i="12"/>
  <c r="A123" i="12" s="1"/>
  <c r="A124" i="12" s="1"/>
  <c r="A125" i="12" s="1"/>
  <c r="A126" i="12" s="1"/>
  <c r="A127" i="12" s="1"/>
  <c r="A128" i="12" s="1"/>
  <c r="A129" i="12" s="1"/>
  <c r="R121" i="12"/>
  <c r="Q121" i="12"/>
  <c r="N121" i="12"/>
  <c r="M121" i="12"/>
  <c r="L121" i="12"/>
  <c r="K121" i="12"/>
  <c r="C121" i="12"/>
  <c r="P120" i="12"/>
  <c r="P119" i="12"/>
  <c r="R118" i="12"/>
  <c r="Q118" i="12"/>
  <c r="N118" i="12"/>
  <c r="M118" i="12"/>
  <c r="L118" i="12"/>
  <c r="K118" i="12"/>
  <c r="C118" i="12"/>
  <c r="P117" i="12"/>
  <c r="A117" i="12"/>
  <c r="R116" i="12"/>
  <c r="Q116" i="12"/>
  <c r="N116" i="12"/>
  <c r="M116" i="12"/>
  <c r="L116" i="12"/>
  <c r="K116" i="12"/>
  <c r="C116" i="12"/>
  <c r="P115" i="12"/>
  <c r="P114" i="12"/>
  <c r="P113" i="12"/>
  <c r="A113" i="12"/>
  <c r="A114" i="12" s="1"/>
  <c r="A115" i="12" s="1"/>
  <c r="R112" i="12"/>
  <c r="Q112" i="12"/>
  <c r="N112" i="12"/>
  <c r="M112" i="12"/>
  <c r="L112" i="12"/>
  <c r="K112" i="12"/>
  <c r="C112" i="12"/>
  <c r="P111" i="12"/>
  <c r="P110" i="12"/>
  <c r="P109" i="12"/>
  <c r="P108" i="12"/>
  <c r="P107" i="12"/>
  <c r="A107" i="12"/>
  <c r="A108" i="12" s="1"/>
  <c r="A109" i="12" s="1"/>
  <c r="A110" i="12" s="1"/>
  <c r="A111" i="12" s="1"/>
  <c r="R106" i="12"/>
  <c r="Q106" i="12"/>
  <c r="N106" i="12"/>
  <c r="M106" i="12"/>
  <c r="L106" i="12"/>
  <c r="K106" i="12"/>
  <c r="C106" i="12"/>
  <c r="P105" i="12"/>
  <c r="P104" i="12"/>
  <c r="P103" i="12"/>
  <c r="R102" i="12"/>
  <c r="Q102" i="12"/>
  <c r="N102" i="12"/>
  <c r="M102" i="12"/>
  <c r="L102" i="12"/>
  <c r="K102" i="12"/>
  <c r="C102" i="12"/>
  <c r="R100" i="12"/>
  <c r="P100" i="12" s="1"/>
  <c r="R99" i="12"/>
  <c r="P99" i="12" s="1"/>
  <c r="Q98" i="12"/>
  <c r="N98" i="12"/>
  <c r="M98" i="12"/>
  <c r="L98" i="12"/>
  <c r="K98" i="12"/>
  <c r="C98" i="12"/>
  <c r="R97" i="12"/>
  <c r="P97" i="12" s="1"/>
  <c r="Q96" i="12"/>
  <c r="N96" i="12"/>
  <c r="M96" i="12"/>
  <c r="L96" i="12"/>
  <c r="K96" i="12"/>
  <c r="C96" i="12"/>
  <c r="P93" i="12"/>
  <c r="R92" i="12"/>
  <c r="Q92" i="12"/>
  <c r="N92" i="12"/>
  <c r="M92" i="12"/>
  <c r="L92" i="12"/>
  <c r="K92" i="12"/>
  <c r="C92" i="12"/>
  <c r="P91" i="12"/>
  <c r="R90" i="12"/>
  <c r="Q90" i="12"/>
  <c r="N90" i="12"/>
  <c r="M90" i="12"/>
  <c r="L90" i="12"/>
  <c r="K90" i="12"/>
  <c r="C90" i="12"/>
  <c r="P89" i="12"/>
  <c r="A89" i="12"/>
  <c r="P88" i="12"/>
  <c r="R87" i="12"/>
  <c r="Q87" i="12"/>
  <c r="N87" i="12"/>
  <c r="M87" i="12"/>
  <c r="L87" i="12"/>
  <c r="K87" i="12"/>
  <c r="C87" i="12"/>
  <c r="P86" i="12"/>
  <c r="P85" i="12"/>
  <c r="P84" i="12"/>
  <c r="A84" i="12"/>
  <c r="A85" i="12" s="1"/>
  <c r="A86" i="12" s="1"/>
  <c r="P83" i="12"/>
  <c r="R82" i="12"/>
  <c r="Q82" i="12"/>
  <c r="O82" i="12"/>
  <c r="O81" i="12" s="1"/>
  <c r="O79" i="12" s="1"/>
  <c r="O78" i="12" s="1"/>
  <c r="N82" i="12"/>
  <c r="M82" i="12"/>
  <c r="L82" i="12"/>
  <c r="K82" i="12"/>
  <c r="C82" i="12"/>
  <c r="P80" i="12"/>
  <c r="P74" i="12"/>
  <c r="P73" i="12"/>
  <c r="P72" i="12"/>
  <c r="U71" i="12"/>
  <c r="T71" i="12"/>
  <c r="S71" i="12"/>
  <c r="R71" i="12"/>
  <c r="Q71" i="12"/>
  <c r="O71" i="12"/>
  <c r="N71" i="12"/>
  <c r="M71" i="12"/>
  <c r="L71" i="12"/>
  <c r="K71" i="12"/>
  <c r="C71" i="12"/>
  <c r="P70" i="12"/>
  <c r="P69" i="12"/>
  <c r="U68" i="12"/>
  <c r="T68" i="12"/>
  <c r="S68" i="12"/>
  <c r="R68" i="12"/>
  <c r="Q68" i="12"/>
  <c r="O68" i="12"/>
  <c r="N68" i="12"/>
  <c r="M68" i="12"/>
  <c r="L68" i="12"/>
  <c r="K68" i="12"/>
  <c r="C68" i="12"/>
  <c r="K64" i="12"/>
  <c r="C64" i="12"/>
  <c r="P63" i="12"/>
  <c r="P62" i="12"/>
  <c r="U61" i="12"/>
  <c r="T61" i="12"/>
  <c r="S61" i="12"/>
  <c r="R61" i="12"/>
  <c r="Q61" i="12"/>
  <c r="O61" i="12"/>
  <c r="N61" i="12"/>
  <c r="M61" i="12"/>
  <c r="L61" i="12"/>
  <c r="K61" i="12"/>
  <c r="C61" i="12"/>
  <c r="U56" i="12"/>
  <c r="U14" i="12" s="1"/>
  <c r="M17" i="21" s="1"/>
  <c r="T56" i="12"/>
  <c r="T14" i="12" s="1"/>
  <c r="S56" i="12"/>
  <c r="S14" i="12" s="1"/>
  <c r="R56" i="12"/>
  <c r="R14" i="12" s="1"/>
  <c r="Q56" i="12"/>
  <c r="Q14" i="12" s="1"/>
  <c r="P56" i="12"/>
  <c r="P14" i="12" s="1"/>
  <c r="O56" i="12"/>
  <c r="O14" i="12" s="1"/>
  <c r="N56" i="12"/>
  <c r="N14" i="12" s="1"/>
  <c r="M56" i="12"/>
  <c r="M14" i="12" s="1"/>
  <c r="P55" i="12"/>
  <c r="P54" i="12"/>
  <c r="P53" i="12"/>
  <c r="P52" i="12"/>
  <c r="P51" i="12"/>
  <c r="P50" i="12"/>
  <c r="U49" i="12"/>
  <c r="U48" i="12" s="1"/>
  <c r="U13" i="12" s="1"/>
  <c r="T49" i="12"/>
  <c r="T48" i="12" s="1"/>
  <c r="S49" i="12"/>
  <c r="S48" i="12" s="1"/>
  <c r="S13" i="12" s="1"/>
  <c r="R49" i="12"/>
  <c r="R48" i="12" s="1"/>
  <c r="R13" i="12" s="1"/>
  <c r="G18" i="21" s="1"/>
  <c r="Q49" i="12"/>
  <c r="Q48" i="12" s="1"/>
  <c r="Q13" i="12" s="1"/>
  <c r="E18" i="21" s="1"/>
  <c r="O49" i="12"/>
  <c r="O48" i="12" s="1"/>
  <c r="N49" i="12"/>
  <c r="N48" i="12" s="1"/>
  <c r="N13" i="12" s="1"/>
  <c r="M49" i="12"/>
  <c r="M48" i="12" s="1"/>
  <c r="M13" i="12" s="1"/>
  <c r="C49" i="12"/>
  <c r="C48" i="12" s="1"/>
  <c r="U31" i="12"/>
  <c r="T31" i="12"/>
  <c r="S31" i="12"/>
  <c r="R31" i="12"/>
  <c r="Q31" i="12"/>
  <c r="O31" i="12"/>
  <c r="N31" i="12"/>
  <c r="M31" i="12"/>
  <c r="C31" i="12"/>
  <c r="U30" i="12"/>
  <c r="N30" i="12"/>
  <c r="C30" i="12"/>
  <c r="U26" i="12"/>
  <c r="T26" i="12"/>
  <c r="S26" i="12"/>
  <c r="R26" i="12"/>
  <c r="Q26" i="12"/>
  <c r="O26" i="12"/>
  <c r="N26" i="12"/>
  <c r="M26" i="12"/>
  <c r="C26" i="12"/>
  <c r="U25" i="12"/>
  <c r="T25" i="12"/>
  <c r="S25" i="12"/>
  <c r="R25" i="12"/>
  <c r="Q25" i="12"/>
  <c r="O25" i="12"/>
  <c r="N25" i="12"/>
  <c r="M25" i="12"/>
  <c r="C25" i="12"/>
  <c r="U24" i="12"/>
  <c r="T24" i="12"/>
  <c r="S24" i="12"/>
  <c r="R24" i="12"/>
  <c r="Q24" i="12"/>
  <c r="O24" i="12"/>
  <c r="N24" i="12"/>
  <c r="M24" i="12"/>
  <c r="C24" i="12"/>
  <c r="U23" i="12"/>
  <c r="T23" i="12"/>
  <c r="S23" i="12"/>
  <c r="R23" i="12"/>
  <c r="Q23" i="12"/>
  <c r="P23" i="12"/>
  <c r="O23" i="12"/>
  <c r="N23" i="12"/>
  <c r="M23" i="12"/>
  <c r="C23" i="12"/>
  <c r="U22" i="12"/>
  <c r="T22" i="12"/>
  <c r="S22" i="12"/>
  <c r="R22" i="12"/>
  <c r="Q22" i="12"/>
  <c r="O22" i="12"/>
  <c r="N22" i="12"/>
  <c r="M22" i="12"/>
  <c r="C22" i="12"/>
  <c r="U20" i="12"/>
  <c r="T20" i="12"/>
  <c r="S20" i="12"/>
  <c r="R20" i="12"/>
  <c r="Q20" i="12"/>
  <c r="O20" i="12"/>
  <c r="N20" i="12"/>
  <c r="M20" i="12"/>
  <c r="C20" i="12"/>
  <c r="U19" i="12"/>
  <c r="T19" i="12"/>
  <c r="S19" i="12"/>
  <c r="Q19" i="12"/>
  <c r="O19" i="12"/>
  <c r="N19" i="12"/>
  <c r="M19" i="12"/>
  <c r="C19" i="12"/>
  <c r="P26" i="12" l="1"/>
  <c r="S262" i="12"/>
  <c r="M24" i="30"/>
  <c r="M12" i="30" s="1"/>
  <c r="K11" i="30"/>
  <c r="X25" i="30"/>
  <c r="T24" i="30"/>
  <c r="T43" i="12"/>
  <c r="O24" i="30"/>
  <c r="O12" i="30" s="1"/>
  <c r="K59" i="30"/>
  <c r="P228" i="12"/>
  <c r="U43" i="12"/>
  <c r="C359" i="12"/>
  <c r="C358" i="12" s="1"/>
  <c r="C33" i="12" s="1"/>
  <c r="P235" i="12"/>
  <c r="R24" i="30"/>
  <c r="R12" i="30" s="1"/>
  <c r="N24" i="30"/>
  <c r="N12" i="30" s="1"/>
  <c r="T12" i="30"/>
  <c r="S24" i="30"/>
  <c r="S12" i="30" s="1"/>
  <c r="P24" i="30"/>
  <c r="P12" i="30" s="1"/>
  <c r="W24" i="30"/>
  <c r="W12" i="30" s="1"/>
  <c r="K24" i="30"/>
  <c r="K12" i="30" s="1"/>
  <c r="U12" i="30"/>
  <c r="L24" i="30"/>
  <c r="L12" i="30" s="1"/>
  <c r="C24" i="30"/>
  <c r="C12" i="30" s="1"/>
  <c r="O44" i="12"/>
  <c r="K60" i="12"/>
  <c r="M44" i="12"/>
  <c r="N44" i="12"/>
  <c r="P116" i="12"/>
  <c r="R67" i="12"/>
  <c r="R18" i="12" s="1"/>
  <c r="P300" i="12"/>
  <c r="C43" i="12"/>
  <c r="S43" i="12"/>
  <c r="M208" i="12"/>
  <c r="M21" i="12" s="1"/>
  <c r="O41" i="12"/>
  <c r="T41" i="12"/>
  <c r="C41" i="12"/>
  <c r="N95" i="12"/>
  <c r="N43" i="12"/>
  <c r="O40" i="12"/>
  <c r="R208" i="12"/>
  <c r="R21" i="12" s="1"/>
  <c r="G26" i="21" s="1"/>
  <c r="O43" i="12"/>
  <c r="S44" i="12"/>
  <c r="R43" i="12"/>
  <c r="Q43" i="12"/>
  <c r="Q44" i="12"/>
  <c r="T44" i="12"/>
  <c r="U44" i="12"/>
  <c r="R44" i="12"/>
  <c r="C44" i="12"/>
  <c r="P179" i="12"/>
  <c r="N41" i="12"/>
  <c r="Q40" i="12"/>
  <c r="R40" i="12"/>
  <c r="P130" i="12"/>
  <c r="U41" i="12"/>
  <c r="M41" i="12"/>
  <c r="S41" i="12"/>
  <c r="N40" i="12"/>
  <c r="P197" i="12"/>
  <c r="R41" i="12"/>
  <c r="Q41" i="12"/>
  <c r="C40" i="12"/>
  <c r="R181" i="12"/>
  <c r="R177" i="12" s="1"/>
  <c r="N359" i="12"/>
  <c r="N42" i="12" s="1"/>
  <c r="M95" i="12"/>
  <c r="M322" i="12"/>
  <c r="R339" i="12"/>
  <c r="P92" i="12"/>
  <c r="N208" i="12"/>
  <c r="N21" i="12" s="1"/>
  <c r="O208" i="12"/>
  <c r="O21" i="12" s="1"/>
  <c r="K339" i="12"/>
  <c r="K313" i="12" s="1"/>
  <c r="T339" i="12"/>
  <c r="K322" i="12"/>
  <c r="C208" i="12"/>
  <c r="C21" i="12" s="1"/>
  <c r="S208" i="12"/>
  <c r="S21" i="12" s="1"/>
  <c r="U322" i="12"/>
  <c r="Q208" i="12"/>
  <c r="Q21" i="12" s="1"/>
  <c r="M294" i="12"/>
  <c r="M272" i="12" s="1"/>
  <c r="M29" i="12" s="1"/>
  <c r="K359" i="12"/>
  <c r="K358" i="12" s="1"/>
  <c r="P277" i="12"/>
  <c r="P275" i="12" s="1"/>
  <c r="P290" i="12"/>
  <c r="P90" i="12"/>
  <c r="P155" i="12"/>
  <c r="K208" i="12"/>
  <c r="T208" i="12"/>
  <c r="T21" i="12" s="1"/>
  <c r="N322" i="12"/>
  <c r="T359" i="12"/>
  <c r="K81" i="12"/>
  <c r="K79" i="12" s="1"/>
  <c r="L208" i="12"/>
  <c r="U208" i="12"/>
  <c r="U21" i="12" s="1"/>
  <c r="C67" i="12"/>
  <c r="C18" i="12" s="1"/>
  <c r="S67" i="12"/>
  <c r="S18" i="12" s="1"/>
  <c r="P71" i="12"/>
  <c r="L95" i="12"/>
  <c r="K101" i="12"/>
  <c r="P169" i="12"/>
  <c r="Q359" i="12"/>
  <c r="K67" i="12"/>
  <c r="T67" i="12"/>
  <c r="T18" i="12" s="1"/>
  <c r="T250" i="12"/>
  <c r="T28" i="12" s="1"/>
  <c r="R359" i="12"/>
  <c r="R42" i="12" s="1"/>
  <c r="C294" i="12"/>
  <c r="C272" i="12" s="1"/>
  <c r="C29" i="12" s="1"/>
  <c r="C60" i="12"/>
  <c r="C17" i="12" s="1"/>
  <c r="S60" i="12"/>
  <c r="S17" i="12" s="1"/>
  <c r="K294" i="12"/>
  <c r="K272" i="12" s="1"/>
  <c r="T60" i="12"/>
  <c r="T17" i="12" s="1"/>
  <c r="P82" i="12"/>
  <c r="P144" i="12"/>
  <c r="O250" i="12"/>
  <c r="O28" i="12" s="1"/>
  <c r="P49" i="12"/>
  <c r="P48" i="12" s="1"/>
  <c r="P13" i="12" s="1"/>
  <c r="P61" i="12"/>
  <c r="Q60" i="12"/>
  <c r="Q17" i="12" s="1"/>
  <c r="R81" i="12"/>
  <c r="R79" i="12" s="1"/>
  <c r="P102" i="12"/>
  <c r="P175" i="12"/>
  <c r="P182" i="12"/>
  <c r="P209" i="12"/>
  <c r="P208" i="12" s="1"/>
  <c r="P21" i="12" s="1"/>
  <c r="R294" i="12"/>
  <c r="R272" i="12" s="1"/>
  <c r="R29" i="12" s="1"/>
  <c r="R322" i="12"/>
  <c r="L359" i="12"/>
  <c r="L358" i="12" s="1"/>
  <c r="U359" i="12"/>
  <c r="U42" i="12" s="1"/>
  <c r="N60" i="12"/>
  <c r="N17" i="12" s="1"/>
  <c r="R96" i="12"/>
  <c r="P96" i="12" s="1"/>
  <c r="P194" i="12"/>
  <c r="L339" i="12"/>
  <c r="U339" i="12"/>
  <c r="S339" i="12"/>
  <c r="M359" i="12"/>
  <c r="M42" i="12" s="1"/>
  <c r="P106" i="12"/>
  <c r="P134" i="12"/>
  <c r="P153" i="12"/>
  <c r="L81" i="12"/>
  <c r="L79" i="12" s="1"/>
  <c r="L250" i="12"/>
  <c r="R60" i="12"/>
  <c r="R17" i="12" s="1"/>
  <c r="L60" i="12"/>
  <c r="L67" i="12"/>
  <c r="U67" i="12"/>
  <c r="U18" i="12" s="1"/>
  <c r="M81" i="12"/>
  <c r="M79" i="12" s="1"/>
  <c r="P87" i="12"/>
  <c r="P118" i="12"/>
  <c r="P269" i="12"/>
  <c r="O339" i="12"/>
  <c r="M339" i="12"/>
  <c r="M67" i="12"/>
  <c r="M18" i="12" s="1"/>
  <c r="P68" i="12"/>
  <c r="L181" i="12"/>
  <c r="L177" i="12" s="1"/>
  <c r="K181" i="12"/>
  <c r="K177" i="12" s="1"/>
  <c r="Q339" i="12"/>
  <c r="N339" i="12"/>
  <c r="R250" i="12"/>
  <c r="R28" i="12" s="1"/>
  <c r="M60" i="12"/>
  <c r="M17" i="12" s="1"/>
  <c r="U60" i="12"/>
  <c r="U17" i="12" s="1"/>
  <c r="N81" i="12"/>
  <c r="N79" i="12" s="1"/>
  <c r="L101" i="12"/>
  <c r="N101" i="12"/>
  <c r="Q181" i="12"/>
  <c r="S250" i="12"/>
  <c r="S28" i="12" s="1"/>
  <c r="N294" i="12"/>
  <c r="N272" i="12" s="1"/>
  <c r="N29" i="12" s="1"/>
  <c r="P360" i="12"/>
  <c r="Q178" i="12"/>
  <c r="P178" i="12" s="1"/>
  <c r="Q95" i="12"/>
  <c r="M101" i="12"/>
  <c r="M94" i="12" s="1"/>
  <c r="P112" i="12"/>
  <c r="O294" i="12"/>
  <c r="O322" i="12"/>
  <c r="C95" i="12"/>
  <c r="N181" i="12"/>
  <c r="N177" i="12" s="1"/>
  <c r="K250" i="12"/>
  <c r="P348" i="12"/>
  <c r="S359" i="12"/>
  <c r="P363" i="12"/>
  <c r="K95" i="12"/>
  <c r="P184" i="12"/>
  <c r="P283" i="12"/>
  <c r="C322" i="12"/>
  <c r="S322" i="12"/>
  <c r="C81" i="12"/>
  <c r="C79" i="12" s="1"/>
  <c r="M181" i="12"/>
  <c r="M177" i="12" s="1"/>
  <c r="P315" i="12"/>
  <c r="P314" i="12" s="1"/>
  <c r="O359" i="12"/>
  <c r="O42" i="12" s="1"/>
  <c r="O60" i="12"/>
  <c r="O17" i="12" s="1"/>
  <c r="N67" i="12"/>
  <c r="N18" i="12" s="1"/>
  <c r="Q67" i="12"/>
  <c r="Q18" i="12" s="1"/>
  <c r="L322" i="12"/>
  <c r="P328" i="12"/>
  <c r="P43" i="12" s="1"/>
  <c r="C339" i="12"/>
  <c r="O67" i="12"/>
  <c r="O18" i="12" s="1"/>
  <c r="C101" i="12"/>
  <c r="Q101" i="12"/>
  <c r="Q174" i="12"/>
  <c r="C181" i="12"/>
  <c r="C177" i="12" s="1"/>
  <c r="Q250" i="12"/>
  <c r="Q28" i="12" s="1"/>
  <c r="P251" i="12"/>
  <c r="L294" i="12"/>
  <c r="L272" i="12" s="1"/>
  <c r="P297" i="12"/>
  <c r="P323" i="12"/>
  <c r="N250" i="12"/>
  <c r="T13" i="12"/>
  <c r="C250" i="12"/>
  <c r="S272" i="12"/>
  <c r="S29" i="12" s="1"/>
  <c r="O13" i="12"/>
  <c r="T272" i="12"/>
  <c r="T29" i="12" s="1"/>
  <c r="U272" i="12"/>
  <c r="U29" i="12" s="1"/>
  <c r="M262" i="12"/>
  <c r="U262" i="12"/>
  <c r="T322" i="12"/>
  <c r="Q81" i="12"/>
  <c r="R98" i="12"/>
  <c r="P255" i="12"/>
  <c r="P121" i="12"/>
  <c r="P190" i="12"/>
  <c r="Q294" i="12"/>
  <c r="P340" i="12"/>
  <c r="R160" i="12"/>
  <c r="P160" i="12" s="1"/>
  <c r="Q322" i="12"/>
  <c r="N358" i="12" l="1"/>
  <c r="N33" i="12" s="1"/>
  <c r="M358" i="12"/>
  <c r="M33" i="12" s="1"/>
  <c r="N313" i="12"/>
  <c r="N32" i="12" s="1"/>
  <c r="P227" i="12"/>
  <c r="C42" i="12"/>
  <c r="C36" i="12" s="1"/>
  <c r="K94" i="12"/>
  <c r="R358" i="12"/>
  <c r="R33" i="12" s="1"/>
  <c r="P181" i="12"/>
  <c r="O36" i="12"/>
  <c r="R313" i="12"/>
  <c r="R32" i="12" s="1"/>
  <c r="P299" i="12"/>
  <c r="P30" i="12" s="1"/>
  <c r="N94" i="12"/>
  <c r="N78" i="12" s="1"/>
  <c r="Q177" i="12"/>
  <c r="P177" i="12" s="1"/>
  <c r="M313" i="12"/>
  <c r="M32" i="12" s="1"/>
  <c r="N36" i="12"/>
  <c r="P339" i="12"/>
  <c r="P262" i="12"/>
  <c r="P250" i="12" s="1"/>
  <c r="P28" i="12" s="1"/>
  <c r="P40" i="12"/>
  <c r="T42" i="12"/>
  <c r="T36" i="12" s="1"/>
  <c r="O358" i="12"/>
  <c r="O33" i="12" s="1"/>
  <c r="K78" i="12"/>
  <c r="S358" i="12"/>
  <c r="S33" i="12" s="1"/>
  <c r="S42" i="12"/>
  <c r="S36" i="12" s="1"/>
  <c r="Q358" i="12"/>
  <c r="Q33" i="12" s="1"/>
  <c r="Q42" i="12"/>
  <c r="Q36" i="12" s="1"/>
  <c r="P41" i="12"/>
  <c r="P44" i="12"/>
  <c r="L313" i="12"/>
  <c r="U313" i="12"/>
  <c r="U32" i="12" s="1"/>
  <c r="U358" i="12"/>
  <c r="U33" i="12" s="1"/>
  <c r="M78" i="12"/>
  <c r="P67" i="12"/>
  <c r="P18" i="12" s="1"/>
  <c r="C94" i="12"/>
  <c r="C78" i="12" s="1"/>
  <c r="T358" i="12"/>
  <c r="T33" i="12" s="1"/>
  <c r="R36" i="12"/>
  <c r="L249" i="12"/>
  <c r="C313" i="12"/>
  <c r="C32" i="12" s="1"/>
  <c r="L94" i="12"/>
  <c r="L78" i="12" s="1"/>
  <c r="P322" i="12"/>
  <c r="O272" i="12"/>
  <c r="O29" i="12" s="1"/>
  <c r="Q94" i="12"/>
  <c r="U36" i="12"/>
  <c r="P294" i="12"/>
  <c r="P60" i="12"/>
  <c r="P17" i="12" s="1"/>
  <c r="K249" i="12"/>
  <c r="M36" i="12"/>
  <c r="O313" i="12"/>
  <c r="R101" i="12"/>
  <c r="P101" i="12" s="1"/>
  <c r="P359" i="12"/>
  <c r="P42" i="12" s="1"/>
  <c r="P174" i="12"/>
  <c r="Q173" i="12"/>
  <c r="P173" i="12" s="1"/>
  <c r="S313" i="12"/>
  <c r="S32" i="12" s="1"/>
  <c r="Q79" i="12"/>
  <c r="P81" i="12"/>
  <c r="N28" i="12"/>
  <c r="C28" i="12"/>
  <c r="Q313" i="12"/>
  <c r="Q32" i="12" s="1"/>
  <c r="T313" i="12"/>
  <c r="Q272" i="12"/>
  <c r="U250" i="12"/>
  <c r="P98" i="12"/>
  <c r="R95" i="12"/>
  <c r="M250" i="12"/>
  <c r="R249" i="12" l="1"/>
  <c r="R27" i="12" s="1"/>
  <c r="P226" i="12"/>
  <c r="P24" i="12" s="1"/>
  <c r="P38" i="12"/>
  <c r="P36" i="12" s="1"/>
  <c r="N249" i="12"/>
  <c r="P313" i="12"/>
  <c r="P32" i="12" s="1"/>
  <c r="S249" i="12"/>
  <c r="S27" i="12" s="1"/>
  <c r="S16" i="12" s="1"/>
  <c r="S15" i="12" s="1"/>
  <c r="S12" i="12" s="1"/>
  <c r="S11" i="12" s="1"/>
  <c r="C249" i="12"/>
  <c r="C27" i="12" s="1"/>
  <c r="C16" i="12" s="1"/>
  <c r="C15" i="12" s="1"/>
  <c r="C12" i="12" s="1"/>
  <c r="C11" i="12" s="1"/>
  <c r="P272" i="12"/>
  <c r="P29" i="12" s="1"/>
  <c r="P358" i="12"/>
  <c r="O32" i="12"/>
  <c r="O249" i="12"/>
  <c r="N27" i="12"/>
  <c r="N16" i="12" s="1"/>
  <c r="N15" i="12" s="1"/>
  <c r="N12" i="12" s="1"/>
  <c r="N11" i="12" s="1"/>
  <c r="N59" i="12"/>
  <c r="N47" i="12" s="1"/>
  <c r="Q29" i="12"/>
  <c r="Q249" i="12"/>
  <c r="M249" i="12"/>
  <c r="M28" i="12"/>
  <c r="R94" i="12"/>
  <c r="P95" i="12"/>
  <c r="U249" i="12"/>
  <c r="U28" i="12"/>
  <c r="T32" i="12"/>
  <c r="T249" i="12"/>
  <c r="P79" i="12"/>
  <c r="Q78" i="12"/>
  <c r="S59" i="12" l="1"/>
  <c r="S47" i="12" s="1"/>
  <c r="P249" i="12"/>
  <c r="P27" i="12" s="1"/>
  <c r="C59" i="12"/>
  <c r="C47" i="12" s="1"/>
  <c r="O27" i="12"/>
  <c r="O16" i="12" s="1"/>
  <c r="O15" i="12" s="1"/>
  <c r="O12" i="12" s="1"/>
  <c r="O11" i="12" s="1"/>
  <c r="O59" i="12"/>
  <c r="O47" i="12" s="1"/>
  <c r="P33" i="12"/>
  <c r="R78" i="12"/>
  <c r="P78" i="12" s="1"/>
  <c r="R77" i="12"/>
  <c r="P94" i="12"/>
  <c r="M27" i="12"/>
  <c r="M16" i="12" s="1"/>
  <c r="M15" i="12" s="1"/>
  <c r="M12" i="12" s="1"/>
  <c r="M11" i="12" s="1"/>
  <c r="M59" i="12"/>
  <c r="M47" i="12" s="1"/>
  <c r="Q27" i="12"/>
  <c r="Q16" i="12" s="1"/>
  <c r="Q15" i="12" s="1"/>
  <c r="Q12" i="12" s="1"/>
  <c r="Q11" i="12" s="1"/>
  <c r="Q59" i="12"/>
  <c r="Q47" i="12" s="1"/>
  <c r="U27" i="12"/>
  <c r="U16" i="12" s="1"/>
  <c r="U15" i="12" s="1"/>
  <c r="U12" i="12" s="1"/>
  <c r="U11" i="12" s="1"/>
  <c r="U59" i="12"/>
  <c r="U47" i="12" s="1"/>
  <c r="T27" i="12"/>
  <c r="T16" i="12" s="1"/>
  <c r="T15" i="12" s="1"/>
  <c r="T12" i="12" s="1"/>
  <c r="T11" i="12" s="1"/>
  <c r="T59" i="12"/>
  <c r="T47" i="12" s="1"/>
  <c r="P77" i="12" l="1"/>
  <c r="P76" i="12" s="1"/>
  <c r="P75" i="12" s="1"/>
  <c r="P19" i="12" s="1"/>
  <c r="P16" i="12" s="1"/>
  <c r="P15" i="12" s="1"/>
  <c r="P12" i="12" s="1"/>
  <c r="P11" i="12" s="1"/>
  <c r="R76" i="12"/>
  <c r="R75" i="12" s="1"/>
  <c r="M23" i="21"/>
  <c r="M24" i="21"/>
  <c r="M25" i="21"/>
  <c r="M26" i="21"/>
  <c r="M27" i="21"/>
  <c r="M28" i="21"/>
  <c r="M29" i="21"/>
  <c r="M30" i="21"/>
  <c r="M31" i="21"/>
  <c r="M33" i="21"/>
  <c r="M34" i="21"/>
  <c r="M35" i="21"/>
  <c r="M36" i="21"/>
  <c r="M37" i="21"/>
  <c r="M38" i="21"/>
  <c r="M39" i="21"/>
  <c r="M22" i="21"/>
  <c r="K23" i="21"/>
  <c r="K24" i="21"/>
  <c r="K25" i="21"/>
  <c r="K26" i="21"/>
  <c r="K27" i="21"/>
  <c r="K28" i="21"/>
  <c r="K29" i="21"/>
  <c r="K30" i="21"/>
  <c r="K31" i="21"/>
  <c r="K33" i="21"/>
  <c r="K34" i="21"/>
  <c r="K35" i="21"/>
  <c r="K36" i="21"/>
  <c r="K38" i="21"/>
  <c r="K39" i="21"/>
  <c r="K22" i="21"/>
  <c r="I23" i="21"/>
  <c r="I24" i="21"/>
  <c r="I25" i="21"/>
  <c r="I26" i="21"/>
  <c r="I27" i="21"/>
  <c r="I28" i="21"/>
  <c r="I29" i="21"/>
  <c r="I30" i="21"/>
  <c r="I31" i="21"/>
  <c r="I33" i="21"/>
  <c r="I34" i="21"/>
  <c r="I35" i="21"/>
  <c r="I36" i="21"/>
  <c r="I37" i="21"/>
  <c r="I38" i="21"/>
  <c r="I39" i="21"/>
  <c r="I22" i="21"/>
  <c r="G23" i="21"/>
  <c r="G25" i="21"/>
  <c r="G29" i="21"/>
  <c r="G33" i="21"/>
  <c r="G32" i="21" s="1"/>
  <c r="G34" i="21"/>
  <c r="G36" i="21"/>
  <c r="G37" i="21"/>
  <c r="G38" i="21"/>
  <c r="G39" i="21"/>
  <c r="G22" i="21"/>
  <c r="E23" i="21"/>
  <c r="E24" i="21"/>
  <c r="E25" i="21"/>
  <c r="E26" i="21"/>
  <c r="E27" i="21"/>
  <c r="E28" i="21"/>
  <c r="E29" i="21"/>
  <c r="E30" i="21"/>
  <c r="E31" i="21"/>
  <c r="E33" i="21"/>
  <c r="E32" i="21" s="1"/>
  <c r="E34" i="21"/>
  <c r="E35" i="21"/>
  <c r="E37" i="21"/>
  <c r="E38" i="21"/>
  <c r="E39" i="21"/>
  <c r="C22" i="21" l="1"/>
  <c r="E19" i="21"/>
  <c r="I32" i="21"/>
  <c r="M32" i="21"/>
  <c r="M19" i="21" s="1"/>
  <c r="N36" i="21" s="1"/>
  <c r="C26" i="21"/>
  <c r="R19" i="12"/>
  <c r="R59" i="12"/>
  <c r="R47" i="12" s="1"/>
  <c r="P59" i="12"/>
  <c r="P47" i="12" s="1"/>
  <c r="C34" i="21"/>
  <c r="C27" i="21"/>
  <c r="K19" i="21"/>
  <c r="K15" i="21" s="1"/>
  <c r="C33" i="21"/>
  <c r="C25" i="21"/>
  <c r="C35" i="21"/>
  <c r="C39" i="21"/>
  <c r="C31" i="21"/>
  <c r="C23" i="21"/>
  <c r="C38" i="21"/>
  <c r="C30" i="21"/>
  <c r="C37" i="21"/>
  <c r="C29" i="21"/>
  <c r="C36" i="21"/>
  <c r="C28" i="21"/>
  <c r="C18" i="29"/>
  <c r="A3" i="12"/>
  <c r="C32" i="21" l="1"/>
  <c r="I19" i="21"/>
  <c r="R16" i="12"/>
  <c r="R15" i="12" s="1"/>
  <c r="R12" i="12" s="1"/>
  <c r="R11" i="12" s="1"/>
  <c r="G24" i="21"/>
  <c r="C24" i="21" s="1"/>
  <c r="C19" i="21" s="1"/>
  <c r="N32" i="21"/>
  <c r="K14" i="21"/>
  <c r="N22" i="21"/>
  <c r="N33" i="21"/>
  <c r="N29" i="21"/>
  <c r="N15" i="21"/>
  <c r="N18" i="21"/>
  <c r="N31" i="21"/>
  <c r="M14" i="21"/>
  <c r="N20" i="21"/>
  <c r="N21" i="21"/>
  <c r="N23" i="21"/>
  <c r="N37" i="21"/>
  <c r="N26" i="21"/>
  <c r="N27" i="21"/>
  <c r="N34" i="21"/>
  <c r="N35" i="21"/>
  <c r="N30" i="21"/>
  <c r="N19" i="21"/>
  <c r="N24" i="21"/>
  <c r="N25" i="21"/>
  <c r="N28" i="21"/>
  <c r="N17" i="21"/>
  <c r="C17" i="29"/>
  <c r="I20" i="21"/>
  <c r="G20" i="21"/>
  <c r="E20" i="21"/>
  <c r="G19" i="21" l="1"/>
  <c r="C13" i="29"/>
  <c r="C12" i="29" s="1"/>
  <c r="H19" i="21" l="1"/>
  <c r="F17" i="21"/>
  <c r="C17" i="21"/>
  <c r="H32" i="21" l="1"/>
  <c r="H28" i="21"/>
  <c r="H22" i="21"/>
  <c r="H18" i="21"/>
  <c r="H38" i="21"/>
  <c r="H37" i="21"/>
  <c r="H27" i="21"/>
  <c r="H23" i="21"/>
  <c r="H25" i="21"/>
  <c r="H33" i="21"/>
  <c r="H34" i="21"/>
  <c r="G14" i="21"/>
  <c r="H30" i="21"/>
  <c r="H31" i="21"/>
  <c r="H36" i="21"/>
  <c r="H29" i="21"/>
  <c r="H21" i="21"/>
  <c r="H26" i="21"/>
  <c r="H39" i="21"/>
  <c r="H35" i="21"/>
  <c r="H15" i="21"/>
  <c r="H17" i="21"/>
  <c r="H20" i="21"/>
  <c r="H24" i="21"/>
  <c r="F37" i="21"/>
  <c r="F33" i="21"/>
  <c r="F19" i="21"/>
  <c r="F20" i="21"/>
  <c r="F24" i="21"/>
  <c r="F28" i="21"/>
  <c r="F18" i="21"/>
  <c r="F16" i="21" s="1"/>
  <c r="F38" i="21"/>
  <c r="F15" i="21"/>
  <c r="F25" i="21"/>
  <c r="F21" i="21"/>
  <c r="F29" i="21"/>
  <c r="F31" i="21"/>
  <c r="F36" i="21"/>
  <c r="F26" i="21"/>
  <c r="F32" i="21"/>
  <c r="F35" i="21"/>
  <c r="E14" i="21"/>
  <c r="F34" i="21"/>
  <c r="F39" i="21"/>
  <c r="F30" i="21"/>
  <c r="F27" i="21"/>
  <c r="F23" i="21"/>
  <c r="C27" i="29"/>
  <c r="C25" i="29" l="1"/>
  <c r="C23" i="29" s="1"/>
  <c r="C22" i="29" s="1"/>
  <c r="C21" i="29" s="1"/>
  <c r="C10" i="29" l="1"/>
  <c r="C11" i="29"/>
  <c r="I41" i="21"/>
  <c r="C41" i="21" s="1"/>
  <c r="X19" i="21"/>
  <c r="I18" i="21"/>
  <c r="AA15" i="21"/>
  <c r="X14" i="21"/>
  <c r="Z13" i="21"/>
  <c r="Y13" i="21"/>
  <c r="Z12" i="21"/>
  <c r="Y12" i="21"/>
  <c r="Y15" i="21" s="1"/>
  <c r="R12" i="21"/>
  <c r="J18" i="21" l="1"/>
  <c r="X13" i="21"/>
  <c r="X12" i="21"/>
  <c r="X15" i="21" s="1"/>
  <c r="X18" i="21" s="1"/>
  <c r="U19" i="21" s="1"/>
  <c r="Z15" i="21"/>
  <c r="J38" i="21" l="1"/>
  <c r="J32" i="21"/>
  <c r="J37" i="21"/>
  <c r="J22" i="21"/>
  <c r="J29" i="21"/>
  <c r="J25" i="21"/>
  <c r="J24" i="21"/>
  <c r="J28" i="21"/>
  <c r="I14" i="21"/>
  <c r="J34" i="21"/>
  <c r="J23" i="21"/>
  <c r="J27" i="21"/>
  <c r="J39" i="21"/>
  <c r="J15" i="21"/>
  <c r="J35" i="21"/>
  <c r="J17" i="21"/>
  <c r="J30" i="21"/>
  <c r="J21" i="21"/>
  <c r="J36" i="21"/>
  <c r="J26" i="21"/>
  <c r="J31" i="21"/>
  <c r="J33" i="21"/>
  <c r="J19" i="21"/>
  <c r="J20" i="21"/>
  <c r="C18" i="21"/>
  <c r="C20" i="21" l="1"/>
  <c r="F22" i="21" l="1"/>
  <c r="D17" i="21"/>
  <c r="C14" i="21" l="1"/>
  <c r="D21" i="21"/>
  <c r="D15" i="21"/>
  <c r="D33" i="21"/>
  <c r="D26" i="21"/>
  <c r="D32" i="21"/>
  <c r="D24" i="21"/>
  <c r="D27" i="21"/>
  <c r="D25" i="21"/>
  <c r="D34" i="21"/>
  <c r="D35" i="21"/>
  <c r="D28" i="21"/>
  <c r="D30" i="21"/>
  <c r="D36" i="21"/>
  <c r="D29" i="21"/>
  <c r="D38" i="21"/>
  <c r="D39" i="21"/>
  <c r="D23" i="21"/>
  <c r="D31" i="21"/>
  <c r="D37" i="21"/>
  <c r="D18" i="21"/>
  <c r="D20" i="21"/>
  <c r="D22" i="21"/>
  <c r="D19" i="21"/>
</calcChain>
</file>

<file path=xl/comments1.xml><?xml version="1.0" encoding="utf-8"?>
<comments xmlns="http://schemas.openxmlformats.org/spreadsheetml/2006/main">
  <authors>
    <author>pc</author>
  </authors>
  <commentList>
    <comment ref="B234" authorId="0">
      <text>
        <r>
          <rPr>
            <b/>
            <sz val="9"/>
            <color indexed="81"/>
            <rFont val="Tahoma"/>
            <family val="2"/>
          </rPr>
          <t>sửa Tân Quới thành Tân Mỹ</t>
        </r>
        <r>
          <rPr>
            <sz val="9"/>
            <color indexed="81"/>
            <rFont val="Tahoma"/>
            <family val="2"/>
          </rPr>
          <t xml:space="preserve">
</t>
        </r>
      </text>
    </comment>
  </commentList>
</comments>
</file>

<file path=xl/sharedStrings.xml><?xml version="1.0" encoding="utf-8"?>
<sst xmlns="http://schemas.openxmlformats.org/spreadsheetml/2006/main" count="1930" uniqueCount="1007">
  <si>
    <t>TT</t>
  </si>
  <si>
    <t>Nội dung</t>
  </si>
  <si>
    <t>TỔNG SỐ</t>
  </si>
  <si>
    <t>A</t>
  </si>
  <si>
    <t>I</t>
  </si>
  <si>
    <t>Vốn cân đối ngân sách địa phương</t>
  </si>
  <si>
    <t>Vốn ngân sách tập trung</t>
  </si>
  <si>
    <t>- Tỉnh quản lý</t>
  </si>
  <si>
    <t>- Huyện quản lý</t>
  </si>
  <si>
    <t>Vốn xổ số kiến thiết</t>
  </si>
  <si>
    <t>II</t>
  </si>
  <si>
    <t>Vốn ngân sách Trung ương</t>
  </si>
  <si>
    <t>III</t>
  </si>
  <si>
    <t>B</t>
  </si>
  <si>
    <t>Nguồn thu sử dụng đất</t>
  </si>
  <si>
    <t>STT</t>
  </si>
  <si>
    <t>Danh mục đầu tư</t>
  </si>
  <si>
    <t>Quyết định đầu tư</t>
  </si>
  <si>
    <t>Ghi chú</t>
  </si>
  <si>
    <t>Tổng số (tất cả các nguồn vốn)</t>
  </si>
  <si>
    <t>Trong đó:</t>
  </si>
  <si>
    <t>XSKT</t>
  </si>
  <si>
    <t>Thực hiện dự án</t>
  </si>
  <si>
    <t>Bộ CHQS Tỉnh</t>
  </si>
  <si>
    <t>Công an Tỉnh</t>
  </si>
  <si>
    <t>Công nghệ thông tin</t>
  </si>
  <si>
    <t>Sở Xây dựng</t>
  </si>
  <si>
    <t>Giáo dục, đào tạo và giáo dục nghề nghiệp</t>
  </si>
  <si>
    <t>Giao thông</t>
  </si>
  <si>
    <t>Chủ đầu tư</t>
  </si>
  <si>
    <t>Số, ngày, tháng, năm</t>
  </si>
  <si>
    <t>Kế hoạch</t>
  </si>
  <si>
    <t>Xổ số kiến thiết</t>
  </si>
  <si>
    <t>a</t>
  </si>
  <si>
    <t>b</t>
  </si>
  <si>
    <t>c</t>
  </si>
  <si>
    <t>NSTT</t>
  </si>
  <si>
    <t>Tổng cộng</t>
  </si>
  <si>
    <t>Quốc phòng</t>
  </si>
  <si>
    <t>An ninh và trật tự, an toàn xã hội</t>
  </si>
  <si>
    <t>Khoa học, công nghệ</t>
  </si>
  <si>
    <t>Khu công nghiệp và khu kinh tế</t>
  </si>
  <si>
    <t>Y tế, dân số và gia đình</t>
  </si>
  <si>
    <t>Nông nghiệp, lâm nghiệp, diêm nghiệp, thủy lợi và thủy sản</t>
  </si>
  <si>
    <t>Hoạt động của các cơ quan quản lý nhà nước, đơn vị sự nghiệp công lập, tổ chức chính trị và các tổ chức chính trị-xã hội</t>
  </si>
  <si>
    <t>Thể dục, thể thao</t>
  </si>
  <si>
    <t>Môi trường</t>
  </si>
  <si>
    <t>Ngân sách tập trung</t>
  </si>
  <si>
    <t>Ngân sách Trung ương</t>
  </si>
  <si>
    <t>2021-2025 (theo hướng dẫn x 5 năm)</t>
  </si>
  <si>
    <t>Tỷ lệ</t>
  </si>
  <si>
    <t>(*5)</t>
  </si>
  <si>
    <t>(*6,7)</t>
  </si>
  <si>
    <t>TỔNG CỘNG</t>
  </si>
  <si>
    <t>16-20 chuyển sang</t>
  </si>
  <si>
    <t>Cấp tỉnh quản lý</t>
  </si>
  <si>
    <t>Tổng số (*5)</t>
  </si>
  <si>
    <t>gđ 21-25</t>
  </si>
  <si>
    <t>gđ 16-20</t>
  </si>
  <si>
    <t>Cấp huyện quản lý</t>
  </si>
  <si>
    <t>Vốn từ nguồn thu tiền sử dụng đất</t>
  </si>
  <si>
    <t>Văn hóa</t>
  </si>
  <si>
    <t>Trong đó: bố trí Chương trình MTQG xây dựng nông thôn mới</t>
  </si>
  <si>
    <t>Cụ thể chi tiết:</t>
  </si>
  <si>
    <t>Các hoạt động kinh tế</t>
  </si>
  <si>
    <t>Công trình công cộng tại các đô thị, hạ tầng kỹ thuật khu đô thị mới</t>
  </si>
  <si>
    <t>Xã hội</t>
  </si>
  <si>
    <t>d</t>
  </si>
  <si>
    <t>e</t>
  </si>
  <si>
    <t>a.1</t>
  </si>
  <si>
    <t>Dự án nhóm B</t>
  </si>
  <si>
    <t>HTM</t>
  </si>
  <si>
    <t>KBNN ĐT</t>
  </si>
  <si>
    <t>TPCL</t>
  </si>
  <si>
    <t>2022-2025</t>
  </si>
  <si>
    <t>2022-2024</t>
  </si>
  <si>
    <t>IV</t>
  </si>
  <si>
    <t>a.1.1</t>
  </si>
  <si>
    <t>Dự án nhóm C</t>
  </si>
  <si>
    <t>Tỉnh Đồng Tháp</t>
  </si>
  <si>
    <t>2021-2024</t>
  </si>
  <si>
    <t>a.2</t>
  </si>
  <si>
    <t>HCL</t>
  </si>
  <si>
    <t>HLVò</t>
  </si>
  <si>
    <t>HLVung</t>
  </si>
  <si>
    <t>Ban QLDA ĐTXDCT Giao thông</t>
  </si>
  <si>
    <t>HHN, TPHN</t>
  </si>
  <si>
    <t>Ban QLDA ĐTXDCT Giao thông; UBND thành phố Hồng Ngự; UBND huyện Hồng Ngự</t>
  </si>
  <si>
    <t>2019-2023</t>
  </si>
  <si>
    <t>HTN</t>
  </si>
  <si>
    <t>2021-2025</t>
  </si>
  <si>
    <t>HHN</t>
  </si>
  <si>
    <t>Ban QLDA ĐTXD CT DD&amp;CN Tỉnh</t>
  </si>
  <si>
    <t>TPHN</t>
  </si>
  <si>
    <t>HCT</t>
  </si>
  <si>
    <t>Sở GD&amp;ĐT</t>
  </si>
  <si>
    <t>HL. Vung</t>
  </si>
  <si>
    <t>1824/QĐ-UBND.HC ngày 30/11/2021 của UBND Tỉnh</t>
  </si>
  <si>
    <t>1825/QÐ-UBND.HC ngày 01/12/2021 của UBND Tỉnh</t>
  </si>
  <si>
    <t>1823/QÐ-UBND.HC ngày 30/11/2021 của UBND Tỉnh</t>
  </si>
  <si>
    <t>HTH</t>
  </si>
  <si>
    <t>UBND HCL</t>
  </si>
  <si>
    <t>a.2.1</t>
  </si>
  <si>
    <t>2023-2025</t>
  </si>
  <si>
    <t>a.3</t>
  </si>
  <si>
    <t>a.3.1</t>
  </si>
  <si>
    <t>KBNN ĐT - CL</t>
  </si>
  <si>
    <t>847/QĐ-UBND ngày 29/12/2020 và 1119/QĐ-UBND ngày 12/10/2021 của UBND huyện</t>
  </si>
  <si>
    <t>KBNN ĐT HCL</t>
  </si>
  <si>
    <t>7852629</t>
  </si>
  <si>
    <t xml:space="preserve">Số 1861/QĐ-UBND ngày 30/11/2021 của UBND Huyện  </t>
  </si>
  <si>
    <t xml:space="preserve">Số 1859/QĐ-UBND ngày 30/11/2021của UBND Huyện  </t>
  </si>
  <si>
    <t xml:space="preserve">Số 1853/QĐ-UBND ngày 30/11/2021 của UBND Huyện  </t>
  </si>
  <si>
    <t xml:space="preserve">Số 1855/QĐ-UBND ngày 30/11/2021 của UBND Huyện  </t>
  </si>
  <si>
    <t xml:space="preserve">Số 1857/QĐ-UBND ngày 30/11/2021 của UBND Huyện  </t>
  </si>
  <si>
    <t>UBND HCT</t>
  </si>
  <si>
    <t>KBNN ĐT - HCT</t>
  </si>
  <si>
    <t>01PH+10PCN+HMP+TB</t>
  </si>
  <si>
    <t>4PH-PCN+HMP+TB</t>
  </si>
  <si>
    <t>02PH+15PCN+HMP+TB</t>
  </si>
  <si>
    <t>12PH+26PCN+HMP+TB</t>
  </si>
  <si>
    <t>KBNN ĐT - TB</t>
  </si>
  <si>
    <t>UBND HTB</t>
  </si>
  <si>
    <t>HTB</t>
  </si>
  <si>
    <t>380/QĐ-UBND ngày 30/12/2020 của UBND huyện</t>
  </si>
  <si>
    <t>379/QĐ-UBND ngày 30/12/2020 của UBND huyện</t>
  </si>
  <si>
    <t xml:space="preserve"> 382/QĐ-UBND ngày 30/12/2020 của UBND huyện</t>
  </si>
  <si>
    <t>KBNN ĐT - HTB</t>
  </si>
  <si>
    <t>10PH+19PCN+HMP+thiết bị</t>
  </si>
  <si>
    <t>4PH+16PCN+HMP+thiết bị</t>
  </si>
  <si>
    <t>23PCN+HMP+thiết bị</t>
  </si>
  <si>
    <t>8PH+16PCN+HMP+thiết bị</t>
  </si>
  <si>
    <t>10PH+10PCN+HMP+thiết bị</t>
  </si>
  <si>
    <t>561/QĐ-UBND.HC ngày 25/11/2021 của UBND huyện</t>
  </si>
  <si>
    <t>562/QĐ-UBND.HC ngày 25/11/2021 của UBND huyện</t>
  </si>
  <si>
    <t>563/QĐ-UBND.HC ngày 25/11/2021 của UBND huyện</t>
  </si>
  <si>
    <t>566/QĐ-UBND.HC ngày 25/11/2021 của UBND huyện</t>
  </si>
  <si>
    <t>565/QĐ-UBND.HC ngày 25/11/2021 của UBND huyện</t>
  </si>
  <si>
    <t>UBND HTH</t>
  </si>
  <si>
    <t xml:space="preserve">- Trường MG Tân Phước </t>
  </si>
  <si>
    <t>KBNN ĐT - HTH</t>
  </si>
  <si>
    <t xml:space="preserve">XD 06 PH + 16 PCN, TB + HMP </t>
  </si>
  <si>
    <t>XD 12 PH + 09 PCN,  HMP + TB</t>
  </si>
  <si>
    <t xml:space="preserve">XD 03 PH + 24 PCN, TB + HMP </t>
  </si>
  <si>
    <t xml:space="preserve">XD 10 PH + 12 PCN, TB + HMP </t>
  </si>
  <si>
    <t>XD 12 PH + 24 PCN, HMP + HTKT + TB</t>
  </si>
  <si>
    <t xml:space="preserve">XD 02 PH + 23 PCN, TB + HMP </t>
  </si>
  <si>
    <t>3PH+thiết bị+HMP</t>
  </si>
  <si>
    <t>7PCN+thiết bị+HMP</t>
  </si>
  <si>
    <t>374/QĐ-UBND.XDCB ngày 10/11/2021 của UBND huyện</t>
  </si>
  <si>
    <t>373/QĐ-UBND.XDCB ngày 10/11/2021 của UBND huyện</t>
  </si>
  <si>
    <t>UBND HHN</t>
  </si>
  <si>
    <t>UBND HTN</t>
  </si>
  <si>
    <t>2295/QĐ-UBND-HC ngày 02/12/2021 của UBND huyện</t>
  </si>
  <si>
    <t>KBNN ĐT - HTN</t>
  </si>
  <si>
    <t>HL Vò</t>
  </si>
  <si>
    <t>KBNN ĐT - HL Vò</t>
  </si>
  <si>
    <t>UBND HL Vò</t>
  </si>
  <si>
    <t>7PH+19PCN+HMP+TB</t>
  </si>
  <si>
    <t>4PH+19PCN+HMP+TB</t>
  </si>
  <si>
    <t>8PH+25PCN+HMP+TB</t>
  </si>
  <si>
    <t>12PH+29PCN+TB+HMP</t>
  </si>
  <si>
    <t>Số 176/QĐ-UBND.HC ngày 25/01/2022 của UBND huyện</t>
  </si>
  <si>
    <t>Số 1736/QĐ-UBND.HC ngày 17/12/2021 của UBND huyện</t>
  </si>
  <si>
    <t>Số 175/QĐ-UBND.HC ngày 25/01/2022 của UBND huyện</t>
  </si>
  <si>
    <t>Số 142/QĐ-UBND.HC ngày 17/01/2022 của UBND huyện</t>
  </si>
  <si>
    <t>LVung</t>
  </si>
  <si>
    <t>KBNN ĐT - LVung</t>
  </si>
  <si>
    <t>UBND H. Lai Vung</t>
  </si>
  <si>
    <t>575/QĐ-UBND-XDCB ngày 28/12/2020 của UBND huyện</t>
  </si>
  <si>
    <t>578/QĐ-UBND-XDCB ngày 28/12/2020 của UBND huyện</t>
  </si>
  <si>
    <t>574/QĐ-UBND-XDCB ngày 28/12/2020 của UBND huyện</t>
  </si>
  <si>
    <t>573/QĐ-UBND-XDCB ngày 28/12/2020 của UBND huyện</t>
  </si>
  <si>
    <t>KBNN ĐT - HL Vung</t>
  </si>
  <si>
    <t>UBND H. L Vung</t>
  </si>
  <si>
    <t>1PH+10PCN+thiết bị+HMP</t>
  </si>
  <si>
    <t>2022- 2024</t>
  </si>
  <si>
    <t>6PH+1PCN+thiết bị+HMP</t>
  </si>
  <si>
    <t>15PH+08PCN+thiết bị+HMP</t>
  </si>
  <si>
    <t>15PH+7PCN+thiết bị+HMP</t>
  </si>
  <si>
    <t>UBND huyện Lai Vung</t>
  </si>
  <si>
    <t>a.2.2</t>
  </si>
  <si>
    <t>UBND TPCL</t>
  </si>
  <si>
    <t>2371/QĐ-UBND ngày 18/11/2021 của UBND thành phố</t>
  </si>
  <si>
    <t>UBND TPHN</t>
  </si>
  <si>
    <t>*Hỗ trợ thành phố Hồng Ngự</t>
  </si>
  <si>
    <t>KBNN ĐT - TPHN</t>
  </si>
  <si>
    <t>20PH+28PCN+TB+HMP</t>
  </si>
  <si>
    <t>2743/QĐ-UBND ngày 20/12/2021 của UBND thành phố</t>
  </si>
  <si>
    <t>2742/QĐ-UBND ngày 20/12/2021 của UBND thành phố</t>
  </si>
  <si>
    <t>12PH+9PCN+TB+HMP</t>
  </si>
  <si>
    <t>2741/QĐ-UBND ngày 20/12/2021 của UBND thành phố</t>
  </si>
  <si>
    <t>TPSĐ</t>
  </si>
  <si>
    <t>UBND TPSĐ</t>
  </si>
  <si>
    <t>UBND HTM</t>
  </si>
  <si>
    <t>6283/QĐ-UBND ngày 31/12/2020 của UBND huyện</t>
  </si>
  <si>
    <t>KBNN ĐT - TM</t>
  </si>
  <si>
    <t>6334/QĐ-UBND ngày 31/12/2020 của UBND huyện</t>
  </si>
  <si>
    <t>6335/QĐ-UBND ngày 31/12/2020 của UBND huyện</t>
  </si>
  <si>
    <t>6336/QĐ-UBND ngày 31/12/2020 của UBND huyện</t>
  </si>
  <si>
    <t>6340/QĐ-UBND ngày 31/12/2020 của UBND huyện</t>
  </si>
  <si>
    <t>6342/QĐ-UBND ngày 31/12/2020 của UBND huyện</t>
  </si>
  <si>
    <t>6343/QĐ-UBND ngày 31/12/2020 của UBND huyện</t>
  </si>
  <si>
    <t>5349/QĐ-UBND ngày 21/12/2020 của UBND huyện</t>
  </si>
  <si>
    <t>KBNN ĐT - HTM</t>
  </si>
  <si>
    <t>13006/QĐ-UBND ngày 15/11/2021 của UBND huyện</t>
  </si>
  <si>
    <t>KBNN ĐT - HHN</t>
  </si>
  <si>
    <t>3PH+2PCN+ thiết bị</t>
  </si>
  <si>
    <t>6PH+6PCN+ thiết bị</t>
  </si>
  <si>
    <t>16PH+21PCN+thiết bị+HMP</t>
  </si>
  <si>
    <t>14PH+34PCN+thiết bị+HMP</t>
  </si>
  <si>
    <t>25PCN+thiết bị+HMP</t>
  </si>
  <si>
    <t>13213/QĐ-UBND ngày 25/11/2021 của UBND huyện</t>
  </si>
  <si>
    <t>13350/QĐ-UBND ngày 29/11/2021 của UBND huyện</t>
  </si>
  <si>
    <t>13351/QĐ-UBND ngày 29/11/2021 của UBND huyện</t>
  </si>
  <si>
    <t>13352/QĐ-UBND ngày 29/11/2021 của UBND huyện</t>
  </si>
  <si>
    <t>13214/QĐ-UBND ngày 25/11/2021 của UBND huyện</t>
  </si>
  <si>
    <t>898/QĐ-UBND-HC ngày 30/6/2022 của UBND huyện</t>
  </si>
  <si>
    <t>13357/QĐ-UBND ngày 29/11/2021 của UBND Huyện</t>
  </si>
  <si>
    <t>Sở VHTTDL</t>
  </si>
  <si>
    <t>969/QĐ-UBND-HC ngày 19/07/2021; 1338/QĐ-UBND-HC ngày 07/09/2021 của UBND Tỉnh</t>
  </si>
  <si>
    <t>Đơn vị tính: Triệu đồng</t>
  </si>
  <si>
    <t>Nhiệm vụ chuẩn bị đầu tư và thanh toán chi phí tất toán công trình hoàn thành</t>
  </si>
  <si>
    <t>Nhiệm vụ chuẩn bị đầu tư; thanh toán chi phí tất toán công trình hoàn thành</t>
  </si>
  <si>
    <t>*Ghi chú:</t>
  </si>
  <si>
    <t>Gồm:
- DA Xử lý cấp bách sạt lở sông Tiền khu vực xã Tân Mỹ, xã Mỹ An Hưng B, huyện Lấp Vò: 230 tỷ đồng (năm 2022 đã đề nghị 60 tỷ đồng)
- Dự án đầu tư nâng cấp và mua sắm trang thiết bị cho 02 Trung tâm Y tế tuyến huyện, tỉnh Đồng Tháp: 121,95 tỷ đồng (năm 2022 đã đề nghị 13,55 tỷ đồng)</t>
  </si>
  <si>
    <t xml:space="preserve">Bảo vệ môi trường </t>
  </si>
  <si>
    <t>Trung tâm Phát triển quỹ đất (Sở Tài nguyên và Môi trường)</t>
  </si>
  <si>
    <t>A.1</t>
  </si>
  <si>
    <t>(*)</t>
  </si>
  <si>
    <t>(Kèm theo Tờ trình số            /TTr-UBND ngày         tháng 11 năm 2022 của Ủy ban nhân dân Tỉnh)</t>
  </si>
  <si>
    <t>KH đầu tư công trung hạn vốn NSNN giai đoạn 2021-2025 do Tỉnh quản lý và phân bổ</t>
  </si>
  <si>
    <t>2022-2027</t>
  </si>
  <si>
    <t>218/QĐ-UBND-HC ngày 14/3/2022 của UBND Tỉnh</t>
  </si>
  <si>
    <t>858/QĐ-UBND.HC ngày 05/8/2022 của UBND Tỉnh</t>
  </si>
  <si>
    <t>917/QĐ-UBND.HC ngày 16/8/2022 của UBND Tỉnh</t>
  </si>
  <si>
    <t>967/QĐ-UBND.HC ngày 26/8/2022 của UBND Tỉnh</t>
  </si>
  <si>
    <t>UBND huyện Châu Thành</t>
  </si>
  <si>
    <t>658/QĐ-UBND-HC ngày 22/06/2022 của UBND Tỉnh</t>
  </si>
  <si>
    <t>UBND huyện Lấp Vò</t>
  </si>
  <si>
    <t>HLVo</t>
  </si>
  <si>
    <t>553/QĐ-UBND.HC ngày 26/5/2022 của UBND Tỉnh</t>
  </si>
  <si>
    <t>296/QĐ-UBND.HC ngày 08/4/2022 của UBND huyện</t>
  </si>
  <si>
    <t>156/QĐ-UBND.ĐTXD ngày 04/8/2022 của UBND huyện</t>
  </si>
  <si>
    <t>HTH, HHN, TPHN</t>
  </si>
  <si>
    <t>899/QĐ-UBND-HC ngày 30/6/2022 của UBND huyện</t>
  </si>
  <si>
    <t>TỔNG SỐ:</t>
  </si>
  <si>
    <t>Theo Quyết định 1912/QĐ-UBND-HC ngày 16/11/2021 của UBND Tỉnh giao vốn trung hạn 2021-2025</t>
  </si>
  <si>
    <t>Vốn Chương trình mục tiêu quốc gia</t>
  </si>
  <si>
    <t>- Chương trình MTQG Giảm nghèo bền vững</t>
  </si>
  <si>
    <t xml:space="preserve">Số 1851/QĐ-UBND ngày 30/11/2021 của UBND Huyện  </t>
  </si>
  <si>
    <t>269/QĐ-UBND.ĐTXD ngày 19/12/2020; số 239/QĐ-UBND.ĐTXD ngày 17/11/2022 của UBND huyện</t>
  </si>
  <si>
    <t>272/QĐ-UBND.ĐTXD ngày 19/12/2020; số 237/QĐ-UBND.ĐTXD ngày 17/11/2022 của UBND huyện</t>
  </si>
  <si>
    <t>273/QĐ-UBND.ĐTXD ngày 19/12/2020; số 244/QĐ-UBND.ĐTXD ngày 17/11/2022 của UBND huyện</t>
  </si>
  <si>
    <t xml:space="preserve"> 846/QĐ-UBND ngày 29/12/2020 và số 560/QĐ-UBND ngày 14/11/2022 của UBND huyện</t>
  </si>
  <si>
    <t>266/QĐ-UBND.ĐTXD ngày 19/12/2020 và 289/QĐ-UBND.ĐTXD ngày 14/9/2021; số 240/QĐ-UBND.ĐTXD ngày 17/11/2022 của UBND huyện</t>
  </si>
  <si>
    <t>271/QĐ-UBND.ĐTXD ngày 19/12/2020; số 109/QĐ-UBND.ĐTXD ngày 31/5/2022 của UBND huyện</t>
  </si>
  <si>
    <t>320/QĐ-UBND.ĐTXD ngày 28/12/2020; số 235/QĐ-UBND.ĐTXD ngày 17/11/2022 của UBND huyện</t>
  </si>
  <si>
    <t>Phân bổ theo ngành, lĩnh vực</t>
  </si>
  <si>
    <t>1986/QĐ-UBND ngày 28/12/2021 của UBND huyện</t>
  </si>
  <si>
    <t>102/QĐ-UBND.HC ngày 27/01/2022 của UBND Tỉnh</t>
  </si>
  <si>
    <t>45/QĐ-UBND-XDCB ngày 25/01/2022 của UBND huyện</t>
  </si>
  <si>
    <t>44/QĐ-UBND-XDCB ngày 25/01/2022 của UBND huyện</t>
  </si>
  <si>
    <t>43/QĐ-UBND-XDCB ngày 25/01/2022 của UBND huyện</t>
  </si>
  <si>
    <t>42/QĐ-UBND-XDCB ngày 25/01/2022 của UBND huyện</t>
  </si>
  <si>
    <t>(Kèm theo Tờ trình số        -TTr/BCSĐ ngày         tháng 11 năm 2022 của Ban cán sự đảng Ủy ban nhân dân Tỉnh)</t>
  </si>
  <si>
    <t>Ghi chú:</t>
  </si>
  <si>
    <t>(*) Giao Ủy ban nhân dân Tỉnh phân khai chi tiết.</t>
  </si>
  <si>
    <t>(Kèm theo Công văn số           /SKHĐT-NV ngày           tháng 11 năm 2022 của Sở Kế hoạch và Đầu tư)</t>
  </si>
  <si>
    <t>Vốn ngân sách Trung ương hỗ trợ mục tiêu</t>
  </si>
  <si>
    <t>Phụ lục 3</t>
  </si>
  <si>
    <t>- Chương trình MTQG Xây dựng nông thôn mới</t>
  </si>
  <si>
    <t>Kế hoạch năm 2024 theo NQ số 21</t>
  </si>
  <si>
    <t>NSTW, ODA</t>
  </si>
  <si>
    <t>Vốn cổ phần hóa doanh nghiệp ĐP</t>
  </si>
  <si>
    <t>Thu tiền sử dụng đất</t>
  </si>
  <si>
    <t>Chi bổ sung vốn điều lệ Quỹ phát triển đất tỉnh</t>
  </si>
  <si>
    <t>Nhiệm vụ chi cho công tác đo đạc đất đai, bổ sung vốn điều lệ Quỹ phát triển đất tỉnh</t>
  </si>
  <si>
    <t>Nâng cấp Khu di tích Nguyễn Sinh Sắc thành Khu di tich Quốc gia đặc biệt</t>
  </si>
  <si>
    <t>Bảo tàng Đồng Tháp Mười tại Khu di tích Gò Tháp</t>
  </si>
  <si>
    <t>Xây dựng Không gian Khởi nghiệp và Đổi mới sáng tạo tỉnh Đồng Tháp</t>
  </si>
  <si>
    <t>Sở KH&amp;ĐT; Ban QLDA ĐTXD CT DD&amp;CN Tỉnh</t>
  </si>
  <si>
    <t>Nâng cấp tuyến đê bao, kè chống sạt lở, xây dựng hệ thống cống dọc sông Tiền, Thành phố Cao Lãnh (giai đoạn 2)</t>
  </si>
  <si>
    <t>TPCL, HCL</t>
  </si>
  <si>
    <t>2024-2025</t>
  </si>
  <si>
    <t>Các dự án chuyển tiếp hoàn thành sau năm 2024</t>
  </si>
  <si>
    <t>Nhà truyền thống Bộ CHQS tỉnh Đồng Tháp</t>
  </si>
  <si>
    <t>472/QĐ-UBND-HC ngày 25/04/2023 của UBND Tỉnh</t>
  </si>
  <si>
    <t>Khu huấn luyện thể lực Bộ Chỉ huy Quân sự Tỉnh, hạng mục: Hồ bơi</t>
  </si>
  <si>
    <t>691/QĐ-UBND-HC ngày 30/06/2023 của UBND Tỉnh</t>
  </si>
  <si>
    <t>Các dự án khởi công mới năm 2024</t>
  </si>
  <si>
    <t>Các dự án chuyển tiếp hoàn thành năm 2024</t>
  </si>
  <si>
    <t>Nhà làm việc Đội Cảnh sát giao thông khu vực Tháp Mười</t>
  </si>
  <si>
    <t>Nhà làm việc Đội Cảnh sát giao thông khu vực Hồng Ngự</t>
  </si>
  <si>
    <t>Hệ thống kho lưu trữ hồ sơ Công an các Huyện, Thành phố, thuộc Công an Tỉnh</t>
  </si>
  <si>
    <t>Dự án Sửa chữa Doanh trại ngành Công an, giai đoạn 2021-2025</t>
  </si>
  <si>
    <t>Trung tâm Văn hóa - HTCĐ xã Phú Thành A</t>
  </si>
  <si>
    <t>UBND huyện Tam Nông</t>
  </si>
  <si>
    <t>1281/QĐ-UBND-HC ngày 07/11/2023 của UBND huyện</t>
  </si>
  <si>
    <t>Tỉnh ĐT</t>
  </si>
  <si>
    <t>Sở GD&amp;ĐT làm đầu mối</t>
  </si>
  <si>
    <t>Mua sắm trang, thiết bị dạy học ngoại ngữ</t>
  </si>
  <si>
    <t>Sở Giáo dục và Đào tạo</t>
  </si>
  <si>
    <t>34/QĐ-UBND-HC ngày 11/01/2022 của UBND Tỉnh</t>
  </si>
  <si>
    <t>Ngành, nghề trọng điểm giai đoạn 2021-2025 của Trường Cao đẳng Y tế Đồng Tháp</t>
  </si>
  <si>
    <t>Trường CĐ Y tế ĐT</t>
  </si>
  <si>
    <t>1109/QĐ-UBND-HC ngày 12/10/2022 của UBND Tỉnh</t>
  </si>
  <si>
    <t>Các dự án hoàn thành và bàn giao đưa vào sử dụng trước ngày 31/12/2023</t>
  </si>
  <si>
    <t>*Hỗ trợ huyện Tân Hồng</t>
  </si>
  <si>
    <t>Trường MN Dinh Bà (điểm phụ Cụm dân cư mới)</t>
  </si>
  <si>
    <t>4PH+thiết bị+HMP</t>
  </si>
  <si>
    <t>372/QĐ-UBND.XDCB ngày 10/11/2021 của UBND huyện</t>
  </si>
  <si>
    <t>Trường MN Tân Thành A (điểm phụ Chiến Thắng)</t>
  </si>
  <si>
    <t>Trường MN 1/6</t>
  </si>
  <si>
    <t>*Hỗ trợ huyện Hồng Ngự</t>
  </si>
  <si>
    <t>Trường Mẫu giáo Thường Thới Tiền</t>
  </si>
  <si>
    <t>Trường Tiểu học Phú Thuận B3</t>
  </si>
  <si>
    <t>*Hỗ trợ huyện Châu Thành</t>
  </si>
  <si>
    <t>Trường Mẫu giáo An Nhơn (Điểm Chính)</t>
  </si>
  <si>
    <t>*Hỗ trợ huyện Tam Nông</t>
  </si>
  <si>
    <t>Trường THCS Phú Hiệp</t>
  </si>
  <si>
    <t>22 phòng chức năng và các hạng mục phụ</t>
  </si>
  <si>
    <t>*Ban QLDA ĐTXD CT DD&amp;CN Tỉnh</t>
  </si>
  <si>
    <t>Trường THPT Hồng Ngự 3</t>
  </si>
  <si>
    <t>Trường MG Phường An Lạc</t>
  </si>
  <si>
    <t>7935431</t>
  </si>
  <si>
    <t>Trường THCS An Lạc</t>
  </si>
  <si>
    <t>*Sở Giáo dục và Đào tạo</t>
  </si>
  <si>
    <t>Trường THPT Tân Phú Trung</t>
  </si>
  <si>
    <t>Trường THCS-THPT Hoà Bình</t>
  </si>
  <si>
    <t>Trường THPT Lai Vung 3</t>
  </si>
  <si>
    <t xml:space="preserve"> Trường TH Giồng Găng</t>
  </si>
  <si>
    <t>Trường TH Nguyễn Huệ</t>
  </si>
  <si>
    <t>Trường THCS Nguyễn Quang Diêu</t>
  </si>
  <si>
    <t>Trường THCS Tân Phước</t>
  </si>
  <si>
    <t>Trường THCS Nguyễn Văn Trỗi</t>
  </si>
  <si>
    <t>Trường Tiểu học Thường Thới Hậu A</t>
  </si>
  <si>
    <t>Trường THCS Long Thuận</t>
  </si>
  <si>
    <t>Trường Trung học cơ sở Long Khánh A</t>
  </si>
  <si>
    <t>Trường TH An Thạnh 1</t>
  </si>
  <si>
    <t>Trường MN Hoa Sen</t>
  </si>
  <si>
    <t>06 phòng học, 15 phòng chức năng và các hạng mục phụ</t>
  </si>
  <si>
    <t>2296/QĐ-UBND-HC ngày 02/12/2021 và 1298/QĐ-UBND-HC ngày 10/11/2023 của UBND huyện</t>
  </si>
  <si>
    <t>Trường TH Phú Hiệp B (Điểm chính)</t>
  </si>
  <si>
    <t>06 phòng học, 19 phòng chức năng và các hạng mục phụ</t>
  </si>
  <si>
    <t>2389/QĐ-UBND-HC ngày 17/12/2021  và 1340/QĐ-UBND-HC ngày 17/11/2023 của UBND huyện</t>
  </si>
  <si>
    <t>*Hỗ trợ huyện Thanh Bình</t>
  </si>
  <si>
    <t>Trường MG Phú Lợi (Điểm chính)</t>
  </si>
  <si>
    <t>Trường MG Tân Mỹ (Điểm chính)</t>
  </si>
  <si>
    <t>Trường TH Tân Quới 2 (Điểm chính+Phụ)</t>
  </si>
  <si>
    <t>Trường TH Tân Mỹ 2 (Điểm chính)</t>
  </si>
  <si>
    <t>Trường TH Thị Trấn 2 (Điểm chính)</t>
  </si>
  <si>
    <t>Trường THCS An Phong</t>
  </si>
  <si>
    <t>Trường THCS Tân Thạnh</t>
  </si>
  <si>
    <t>Trường THCS Phú Lợi</t>
  </si>
  <si>
    <t>*Hỗ trợ thành phố Cao Lãnh</t>
  </si>
  <si>
    <t xml:space="preserve">Trường MN Sao Mai (tên cũ là Trường MN Hương Sen)
</t>
  </si>
  <si>
    <t>2106/QĐ-UBND ngày 18/10/2021; 50/QĐ-UBND ngày 09/6/2023 của UBND thành phố</t>
  </si>
  <si>
    <t>Trường TH  Lý Thường Kiệt (Trường TH Phan Đăng Lưu  sáp  nhập vào Trường TH Lý Thường Kiệt)</t>
  </si>
  <si>
    <t>2125/QĐ-UBND ngày 23/12/2020 và số 1826/QĐ-UBND ngày 13/10/2022;  267/QĐ-UBND ngày 12/6/2023 của UBND thành phố</t>
  </si>
  <si>
    <t>Trường THCS Thống Linh 
(giai đoạn 2)</t>
  </si>
  <si>
    <t>*Hỗ trợ huyện Tháp Mười</t>
  </si>
  <si>
    <t>Trường MN Mỹ Hòa</t>
  </si>
  <si>
    <t>Trường MN Đốc Binh Kiều 1</t>
  </si>
  <si>
    <t>Trường MN Mỹ Quý 1</t>
  </si>
  <si>
    <t>Trường TH Phú Điền 1</t>
  </si>
  <si>
    <t>Trường TH&amp;THCS Thanh Mỹ
 (phần TH)</t>
  </si>
  <si>
    <t>5348/QĐ-UBND ngày 21/12/2020 và 10296/QĐ-UBND ngày 29/10/2021 của UBND huyện</t>
  </si>
  <si>
    <t>Trường TH Mỹ An A</t>
  </si>
  <si>
    <t>7888731</t>
  </si>
  <si>
    <t>Trường TH Tân Kiều 3</t>
  </si>
  <si>
    <t>Trường THCS TT Mỹ An</t>
  </si>
  <si>
    <t>Trường THCS Tân Kiều</t>
  </si>
  <si>
    <t>*Hỗ trợ huyện Cao Lãnh</t>
  </si>
  <si>
    <t>Trường MN Bình Thạnh B</t>
  </si>
  <si>
    <t>Trường TH Phong Mỹ 4</t>
  </si>
  <si>
    <t>Trường TH Gáo Giồng</t>
  </si>
  <si>
    <t>Trường TH Phương Thịnh 1</t>
  </si>
  <si>
    <t>Trường TH Bình Thạnh 2</t>
  </si>
  <si>
    <t>Trường TH Bình Thạnh 3</t>
  </si>
  <si>
    <t>Trường TH Tân Hội Trung 1</t>
  </si>
  <si>
    <t>Trường THCS Phương Trà</t>
  </si>
  <si>
    <t>*Hỗ trợ thành phố Sa Đéc</t>
  </si>
  <si>
    <t>Trường Tiểu học Phú Long</t>
  </si>
  <si>
    <t>KBNN ĐT - TPSĐ</t>
  </si>
  <si>
    <t>23PH+22PCN+HMP+TB</t>
  </si>
  <si>
    <t>Số 255/QĐ-UBND-XDCB ngày 30/12/2021; số 152/QĐ-UBND-XDCB ngày 05/8/2022; 183a/QĐ-UBND-XDCB ngày 21/10/2022 của UBND thành phố</t>
  </si>
  <si>
    <t>*Hỗ trợ huyện Lấp Vò</t>
  </si>
  <si>
    <t>Trường TH Mỹ An Hưng A</t>
  </si>
  <si>
    <t>Trường TH Tân Khánh Trung 3</t>
  </si>
  <si>
    <t>Trường TH Định An</t>
  </si>
  <si>
    <t>Trường THCS Định An</t>
  </si>
  <si>
    <t>*Hỗ trợ huyện Lai Vung</t>
  </si>
  <si>
    <t>Trường MN Long Thắng  2</t>
  </si>
  <si>
    <t>Trường MN Long Hậu 2</t>
  </si>
  <si>
    <t>Trường Tiểu học Long Thắng 2 (điểm chính)</t>
  </si>
  <si>
    <t>Trường Tiểu học Tân Thành 3</t>
  </si>
  <si>
    <t>Trường Tiểu học Tân Hòa 1</t>
  </si>
  <si>
    <t>Trường TH Phong Hòa 2 (Điểm chính)</t>
  </si>
  <si>
    <t xml:space="preserve"> Trường TH Phong Hòa 2 (Điểm Tân Qưới)</t>
  </si>
  <si>
    <t xml:space="preserve">Trường THCS Long Hậu
</t>
  </si>
  <si>
    <t>Trường Mẫu giáo Tân Phú (Điểm Chính)</t>
  </si>
  <si>
    <t xml:space="preserve">1987/QĐ-UBND ngày 28/12/2021; 848/QĐ-UBND ngày 13/112023 của UBND huyện, </t>
  </si>
  <si>
    <t>Trường Tiểu học Cái Tàu Hạ 2</t>
  </si>
  <si>
    <t>1985/QĐ-UBND ngày 28/12/2021 ; 714/QĐ-UBND ngày 22/9/2023 của UBND huyện</t>
  </si>
  <si>
    <t>Trường Tiểu học Hòa Tân 1 (Điểm Chính)</t>
  </si>
  <si>
    <t>1984/QĐ-UBND ngày 28/12/2021; 584/QĐ-UBND ngày 07/7/2022; 804/QĐ-UBND ngày 31/10/2023 của UBND huyện</t>
  </si>
  <si>
    <t>Trường MN Tràm Chim</t>
  </si>
  <si>
    <t>20 P.học+ các phòng chức năng+ hạng mục phụ</t>
  </si>
  <si>
    <t>2035/QĐ-UBND-HC ngày 01/11/2021 và 1187/QĐ-UBND-HC ngày 13/10/2021 của UBND huyện</t>
  </si>
  <si>
    <t>a.4</t>
  </si>
  <si>
    <t>a.4.1</t>
  </si>
  <si>
    <t>Trường MG An Bình B (điểm chính)</t>
  </si>
  <si>
    <t xml:space="preserve">	7965206</t>
  </si>
  <si>
    <t>Bồi thương giải phóng mặt bằng,  San lấp mặt bằng, xây dựng 14 phòng học, 18 phòng chức năng, hạng mục phụ và thiết bị</t>
  </si>
  <si>
    <t>Số: 230/QĐ-UBND, ngày 30/6/2022 của UBND thành phố</t>
  </si>
  <si>
    <t>a.4.2</t>
  </si>
  <si>
    <t>Trường Tiểu học Phú Thuận B4</t>
  </si>
  <si>
    <t>13353/QĐ-UBND ngày 29/11/2021 của UBND huyện</t>
  </si>
  <si>
    <t xml:space="preserve">Trường MG Phú Thọ (điểm chính) </t>
  </si>
  <si>
    <t>08 phòng học, 15 phòng chức năng và các hạng mục phụ</t>
  </si>
  <si>
    <t>792/QĐ-UBND-HC ngày 17/6/2022 của UBND huyện</t>
  </si>
  <si>
    <t>Trường MN Phú Đức (điểm chính)</t>
  </si>
  <si>
    <t>05 phòng học, 09 phòng chức năng và các hạng mục phụ</t>
  </si>
  <si>
    <t>1513/QĐ-UBND-HC ngày 02/11/2022 của UBND huyện</t>
  </si>
  <si>
    <t>Trường TH Phú Thành B2 (Điểm chính)</t>
  </si>
  <si>
    <t>02 phòng học, 19 phòng chức năng và các hạng mục phụ</t>
  </si>
  <si>
    <t>891/QĐ-UBND-HC ngày 29/6/2022 của UBND huyện</t>
  </si>
  <si>
    <t>Trường TH Phú Thành A2 (Điểm chính)</t>
  </si>
  <si>
    <t>19 phòng chức năng và các hạng mục phụ</t>
  </si>
  <si>
    <t>890/QĐ-UBND-HC ngày 29/6/2022 của UBND huyện</t>
  </si>
  <si>
    <t>Trường TH-THCS Phú Xuân</t>
  </si>
  <si>
    <t>03 phòng học, 24 phòng chức năng và hạng mục phụ</t>
  </si>
  <si>
    <t>892/QĐ-UBND-HC ngày 29/6/2022 của UBND huyện</t>
  </si>
  <si>
    <t>Trường MG Tân Hoà (Điểm chính)</t>
  </si>
  <si>
    <t>Số 197a/QĐ-UBND.HC ngày 19/06/2023</t>
  </si>
  <si>
    <t>Trường TH Bình Thành 1</t>
  </si>
  <si>
    <t>Số 348/QĐ-UBND.HC ngày 13/11/2023 của UBND huyện</t>
  </si>
  <si>
    <t>Trường TH Tân Phú 2 (Điểm chính)</t>
  </si>
  <si>
    <t>190/QĐ-UBND.HC ngày 30/6/2022 của UBND huyện</t>
  </si>
  <si>
    <t>Trường MG Mỹ An Hưng B</t>
  </si>
  <si>
    <t>Số 433/QĐ-UBND.HC ngày 20/6/2022 của UBND huyện</t>
  </si>
  <si>
    <t>Trường TH Định Yên 2</t>
  </si>
  <si>
    <t>Số 442/QĐ-UBND.HC ngày 20/6/2022 của UBND huyện</t>
  </si>
  <si>
    <t>Trường Tiểu học Phú Long (điểm chính)</t>
  </si>
  <si>
    <t>12PH+25PCN+HMP+TB</t>
  </si>
  <si>
    <t>530/QĐ-UBND ngày 13/6/2022 của UBND huyện</t>
  </si>
  <si>
    <t>Số dự án, CT</t>
  </si>
  <si>
    <t>Địa điểm XD</t>
  </si>
  <si>
    <t>Thời gian thực hiện</t>
  </si>
  <si>
    <t>Lũy kế bố trí vốn đến hết năm 2023</t>
  </si>
  <si>
    <t>Tổng mức đầu tư</t>
  </si>
  <si>
    <t>Trong đó: vốn NSNN giai đoạn 2021-2025</t>
  </si>
  <si>
    <t>CẤP TỈNH QUẢN LÝ</t>
  </si>
  <si>
    <t>Thực hiện đầu tư</t>
  </si>
  <si>
    <t>III.1</t>
  </si>
  <si>
    <t>Văn hóa, thông tin</t>
  </si>
  <si>
    <t>Nông nghiệp, lâm nghiệp, thủy lợi và thủy sản</t>
  </si>
  <si>
    <t xml:space="preserve">Giao thông </t>
  </si>
  <si>
    <t>Hoạt động của các cơ quan quản lý nhà nước, đơn vị sự nghiệp công lập, tổ chức chính trị và các tổ chức chính trị - xã hội</t>
  </si>
  <si>
    <t>Bố trí ổn định dân cư Dinh Bà, xã Tân Hộ Cơ, huyện Tân Hồng</t>
  </si>
  <si>
    <t>Hệ thống cầu đường Bờ bắc kênh Nguyễn Văn Tiếp</t>
  </si>
  <si>
    <t>Đường Kháng Chiến, bờ nam</t>
  </si>
  <si>
    <t>Đường Tân Thạnh - Phú Lợi</t>
  </si>
  <si>
    <t>Đường bờ Bắc kênh Nguyễn Văn Tiếp</t>
  </si>
  <si>
    <t xml:space="preserve">Chỉnh trang đô thị khu đô thị An Thạnh </t>
  </si>
  <si>
    <t xml:space="preserve">Cầu kênh Nguyễn Văn Tiếp A </t>
  </si>
  <si>
    <t>Cụ thể chi tiết</t>
  </si>
  <si>
    <t>Chuẩn bị đầu tư, tất toán hoàn thành</t>
  </si>
  <si>
    <t>Chuẩn bị đầu tư</t>
  </si>
  <si>
    <t>Số vốn còn lại</t>
  </si>
  <si>
    <t>Tất toán công trình hoàn thành</t>
  </si>
  <si>
    <t>A.2</t>
  </si>
  <si>
    <t>A.3</t>
  </si>
  <si>
    <t>Khởi công mới</t>
  </si>
  <si>
    <t>Chuyển tiếp</t>
  </si>
  <si>
    <t>Nhà làm việc Phòng Cảnh sát hình sự thuộc Công an Tỉnh</t>
  </si>
  <si>
    <t>853/QĐ-UBND.HC ngày 04/8/2022 của UBND Tỉnh</t>
  </si>
  <si>
    <t>Chương trình Đảm bảo cơ sở vật chất cho chương trình giáo dục mầm non và giáo dục phổ thông giai đoạn 2021-2025</t>
  </si>
  <si>
    <t>Bao gồm:</t>
  </si>
  <si>
    <t>Hỗ trợ mục tiêu cho cấp huyện xây dựng Trung tâm Văn hoá-Học tập cộng đồng cấp xã</t>
  </si>
  <si>
    <t>Sở Văn hóa, Thể thao và Du lịch làm đầu mối</t>
  </si>
  <si>
    <t>Xây dựng kho dữ liệu dùng chung và nền tảng dữ liệu mở tỉnh Đồng Tháp</t>
  </si>
  <si>
    <t>Sở Thông tin và Truyền thông</t>
  </si>
  <si>
    <t>1153/QĐ-UBND.HC ngày 21/10/2022 của UBND Tỉnh</t>
  </si>
  <si>
    <t>V</t>
  </si>
  <si>
    <t>Nâng cấp, mở rộng hệ thống cơ sở vật chất và trang, thiết bị Bệnh viện Đa khoa khu vực Hồng Ngự</t>
  </si>
  <si>
    <t>Ban QLDA ĐTXDCT Dân dụng và CN</t>
  </si>
  <si>
    <t>98/QĐ-UBND-HC ngày 27/01/2022 của UBND Tỉnh</t>
  </si>
  <si>
    <t>Nâng cấp, mở rộng Bệnh viện Phổi</t>
  </si>
  <si>
    <t>672/QĐ-UBND-HC ngày 27/06/2022 của UBND Tỉnh</t>
  </si>
  <si>
    <t>Trang bị bổ sung mới thiết bị chuyên môn cho 08 Trung tâm y tế có giường bệnh của tỉnh Đồng Tháp</t>
  </si>
  <si>
    <t>Sở Y tế</t>
  </si>
  <si>
    <t>948/QĐ-UBND-HC ngày 15/9/2023 của UBND Tỉnh</t>
  </si>
  <si>
    <t>Xây dựng bổ sung cơ sở vật chất Bệnh viện Y học cổ truyền Đồng Tháp</t>
  </si>
  <si>
    <t>1106/QĐ-UBND-HC ngày 12/10/2022 của UBND Tỉnh</t>
  </si>
  <si>
    <t>Sửa chữa cơ sở vật chất và mua sắm trang thiết bị Bệnh viện đa khoa khu vực Tháp Mười</t>
  </si>
  <si>
    <t>1107/QĐ-UBND-HC ngày 12/10/2022 của UBND Tỉnh</t>
  </si>
  <si>
    <t>VI</t>
  </si>
  <si>
    <t>Sở Văn hóa, Thể thao và Du lịch</t>
  </si>
  <si>
    <t>Tu bổ, chống xuống cấp một số di tích trên địa bàn tỉnh ĐT</t>
  </si>
  <si>
    <t>TPSĐ, HLVung, HLVò, HCT, HTN</t>
  </si>
  <si>
    <t>1058/QĐ-UBND-HC ngày 30/09/2022 của UBND Tỉnh</t>
  </si>
  <si>
    <t>VIII</t>
  </si>
  <si>
    <t>Hỗ trợ mục tiêu cho cấp huyện đầu tư Khu liên hợp thể dục thể thao huyện và Tổ hợp thể thao xã</t>
  </si>
  <si>
    <t>Khu liên hợp TDTT huyện Lấp Vò</t>
  </si>
  <si>
    <t>Khu liên hợp TDTT huyện Thanh Bình</t>
  </si>
  <si>
    <t>UBND huyện Thanh Bình</t>
  </si>
  <si>
    <t>Khu liên hợp TDTT huyện Lai Vung</t>
  </si>
  <si>
    <t>Tổ hợp thể thao xã Bình Tấn</t>
  </si>
  <si>
    <t>Tổ hợp thể thao xã Tân Phú</t>
  </si>
  <si>
    <t xml:space="preserve">Tổ hợp thể thao xã Tân Hộ Cơ </t>
  </si>
  <si>
    <t xml:space="preserve">UBND huyện Tân Hồng </t>
  </si>
  <si>
    <t>219/QĐ-UBND.ĐTXD ngày 02/11/2023 của UBND huyện</t>
  </si>
  <si>
    <t>Tổ hợp thể thao xã Bình Phú</t>
  </si>
  <si>
    <t>218/QĐ-UBND.ĐTXD ngày 02/11/2023 của UBND huyện</t>
  </si>
  <si>
    <t>Sân Bóng đá 7 người</t>
  </si>
  <si>
    <t>UBND thành phố Sa Đéc</t>
  </si>
  <si>
    <t>Sân Bóng chuyền</t>
  </si>
  <si>
    <t>XI</t>
  </si>
  <si>
    <t>Trả nợ vay ODA</t>
  </si>
  <si>
    <t>HHN, TPHN, HTN, HTB</t>
  </si>
  <si>
    <t>Sở Nông nghiệp và Phát triển nông thôn</t>
  </si>
  <si>
    <t>1410/QĐ-UBND.HC ngày 23/12/2022 của UBND tỉnh</t>
  </si>
  <si>
    <t>Mở rộng Trung tâm công nghệ xử lý môi trường Mỹ Thọ (giai đoạn 1)</t>
  </si>
  <si>
    <t>1088/QĐ-UBND.HC ngày 10/10/2022 của UBND Tỉnh</t>
  </si>
  <si>
    <t>Vườn Quốc gia Tràm Chim</t>
  </si>
  <si>
    <t>X</t>
  </si>
  <si>
    <t>Chương trình mục tiêu quốc gia xây dựng nông thôn mới giai đoạn 2021-2025</t>
  </si>
  <si>
    <t>Sở NN&amp;PTNT làm đầu mối</t>
  </si>
  <si>
    <t>972/QĐ-UBND-HC ngày 26/8/2022 của UBND Tỉnh</t>
  </si>
  <si>
    <t xml:space="preserve">Phát triển cơ sở hạ tầng tỉnh Đồng Tháp 
</t>
  </si>
  <si>
    <t>2019-2024</t>
  </si>
  <si>
    <t>Phòng chống sạt lở bờ sông để bảo vệ dân cư tại các khu vực xung yếu trên địa bàn tỉnh Đồng Tháp (xã Long Thuận và Phú Thuận A, HHN)</t>
  </si>
  <si>
    <t>Ban QLDA ĐTXDCT Nông nghiệp và PTNT</t>
  </si>
  <si>
    <t>1833/QĐ-UBND-HC ngày 01/12/2020; 1191/QĐ-UBND-HC ngày 18/08/2021 của UBND Tỉnh</t>
  </si>
  <si>
    <t>Hạ tầng quản lý bảo vệ rừng và phát triển hệ sinh thái bền vững Vườn Quốc gia Tràm Chim giai đoạn 2021-2025</t>
  </si>
  <si>
    <t>2023-2024</t>
  </si>
  <si>
    <t>1236/QĐ-UBND-HC ngày 14/11/2022 của UBND Tỉnh</t>
  </si>
  <si>
    <t>Kè Hổ Cứ, xã Hoà An, thành phố Cao Lãnh (nối dài về phía hạ lưu)</t>
  </si>
  <si>
    <t>97/QĐ-UBND-HC ngày 26/01/2022 của UBND Tỉnh</t>
  </si>
  <si>
    <t>UBND huyện Tân Hồng</t>
  </si>
  <si>
    <t>1227/QĐ-UBND-HC ngày 11/11/2022 của UBND Tỉnh</t>
  </si>
  <si>
    <t>Nâng cấp mở rộng hệ thống cấp nước sạch nông thôn khu vực Giồng Găng, xã Tân Phước - Cà Vàng, xã Thông Bình, HTH</t>
  </si>
  <si>
    <t>1951/QĐ-UBND-HC ngày 24/12/2021; 957/QĐ-UBND-HC ngày 25/8/2022 của UBND Tỉnh</t>
  </si>
  <si>
    <t>Hỗ trợ mục tiêu cho cấp huyện</t>
  </si>
  <si>
    <t>Bờ kè Dinh Ông, xã Tân Thạnh (NS Tỉnh hỗ trợ mục tiêu)</t>
  </si>
  <si>
    <t>Xử lý sạt lở cấp bách sông Tiền Khu vực xã Bình Hàng Trung, huyện Cao Lãnh (giai đoạn 2)</t>
  </si>
  <si>
    <t>Bố trí dân cư tỉnh Đồng Tháp giai đoạn 2021-2025</t>
  </si>
  <si>
    <t>HHN, HTN, HTB, TPCL</t>
  </si>
  <si>
    <t>Sở Xây dựng; UBND TPCL; UBND các huyện: TB, TN, HN</t>
  </si>
  <si>
    <t>463/QĐ-UBND-HC ngày 20/04/2023 của UBND Tỉnh</t>
  </si>
  <si>
    <t>Mạng đường ống cấp nước đến hộ gia đình sau tuyến ống chính của Dự án thành phần số 7</t>
  </si>
  <si>
    <t>HTH, HTN, HCL, HTM</t>
  </si>
  <si>
    <t>1202/QĐ-UBND-HC ngày 21/11/2023 của UBND Tỉnh</t>
  </si>
  <si>
    <t>Hỗ trợ mục tiêu cho cấp huyện hoàn chỉnh hệ thống hạ tầng kỹ thuật đối với các cụm dân cư vượt lũ GĐ 1</t>
  </si>
  <si>
    <t>Sở Xây dựng làm đầu mối</t>
  </si>
  <si>
    <t>CDC Kênh 15, xã Gáo Giồng</t>
  </si>
  <si>
    <t>UBND huyện Cao Lãnh</t>
  </si>
  <si>
    <t>22/QĐ-UBND ngày 30/01/2023 của UBND HCL</t>
  </si>
  <si>
    <t>CDC xã Tân Hội Trung</t>
  </si>
  <si>
    <t>461/QĐ-UBND ngày 15/8/2023 của UBND HCL</t>
  </si>
  <si>
    <t>Hoàn thành năm 2023</t>
  </si>
  <si>
    <t>Nâng cấp đường ĐT.841 và xây dựng mới cầu Sở Thượng 2</t>
  </si>
  <si>
    <t>895/QĐ-UBND-HC ngày 11/08/2022 của UBND tỉnh</t>
  </si>
  <si>
    <t>Xây dựng tuyến ĐT.857 (đoạn QL30- ĐT.845)</t>
  </si>
  <si>
    <t>HTB, HCL, HTM</t>
  </si>
  <si>
    <t>Sở Giao thông vận tải; Trung tâm Phát triển Quỹ đất (Sở Tài nguyên và Môi trường)</t>
  </si>
  <si>
    <t>Xây dựng công trình đường bộ cao tốc Cao Lãnh - An Hữu, giai đoạn 1 (Dự án thành phần 1)</t>
  </si>
  <si>
    <t>Ban QLDA ĐTXDCT Giao thông; Trung tâm Phát triển Quỹ đất (Sở TN&amp;MT)</t>
  </si>
  <si>
    <t>180/QĐ-UBND.HC ngày 13/02/2023 của UBND Tỉnh</t>
  </si>
  <si>
    <t>Nâng cấp hệ cầu trên đường ĐT.844 (đoạn Tràm Chim - Trường Xuân)</t>
  </si>
  <si>
    <t>HTN, HTM</t>
  </si>
  <si>
    <t>Ban QLDA ĐTXDCT Giao thông; UBND huyện Tháp Mười; UBND huyện Tam Nông</t>
  </si>
  <si>
    <t>1896/QĐ-UBND-HC ngày 14/12/2021 của UBND Tỉnh</t>
  </si>
  <si>
    <t>Đường ĐT.845 đoạn Trường Xuân - Tân Phước</t>
  </si>
  <si>
    <t>HTM, HTN, HTH</t>
  </si>
  <si>
    <t>Ban QLDA ĐTXDCT Giao thông; UBND các huyện: Tháp Mười, Tam Nông, Tân Hồng</t>
  </si>
  <si>
    <t>1555/QĐ-UBND-HC ngày 14/10/2021 của UBND Tỉnh</t>
  </si>
  <si>
    <t>Nâng cấp mở rộng tuyến ĐT.855 đoạn TT Tràm Chim - Hòa Bình</t>
  </si>
  <si>
    <t>Ban QLDA ĐTXDCT Giao thông; UBND huyện Tam Nông</t>
  </si>
  <si>
    <t xml:space="preserve">Xây dựng Bến phà An Phong - Tân Bình và tuyến đường kết nối
</t>
  </si>
  <si>
    <t>Ban QLDA ĐTXDCT Giao thông; UBND huyện Thanh Bình</t>
  </si>
  <si>
    <t>199/QĐ-UBND-HC ngày 22/02/2023 của UBND Tỉnh</t>
  </si>
  <si>
    <t>Xây dựng cầu Phú Hiệp và Cà Dâm, huyện Tam Nông</t>
  </si>
  <si>
    <t>Hỗ trợ mục tiêu cho cấp huyện đầu tư công trình giao thông nông thôn góp phần hoàn thành tiêu chí nông thôn mới</t>
  </si>
  <si>
    <t>09 huyện</t>
  </si>
  <si>
    <t>Sở Giao thông vận tải làm đầu mối</t>
  </si>
  <si>
    <t>ĐH. Long Phú Thuận A-B</t>
  </si>
  <si>
    <t>UBND huyện Hồng Ngự</t>
  </si>
  <si>
    <t>1324/QĐ-UBND ngày 29/03/2023 của UBND Huyện</t>
  </si>
  <si>
    <t>ĐH. Long Thuận</t>
  </si>
  <si>
    <t>Đường bờ Đông kênh Mười Tải</t>
  </si>
  <si>
    <t>849/QĐ-UBND ngày 29/12/2020 của UBND Huyện</t>
  </si>
  <si>
    <t>Đường kênh 2/9</t>
  </si>
  <si>
    <t>Cầu Xẻo Quýt, xã Tân Hội Trung</t>
  </si>
  <si>
    <t>298/QĐ-UBND ngày 31/5/2023 của UBND huyện</t>
  </si>
  <si>
    <t>Cầu trên tuyến đường bờ Nam kênh Tân Công Sính 1 (Cầu kênh ranh Tân Công Sính - Phú cường và Cầu kênh 1000)</t>
  </si>
  <si>
    <t>601/QĐ-UBND-HC ngày 25/5/2023 của UBND huyện</t>
  </si>
  <si>
    <t>Hạ tầng kỹ thuật khu kinh tế cửa khẩu Đồng Tháp (giai đoạn 3)</t>
  </si>
  <si>
    <t>Ban quản lý Khu kinh tế ĐT</t>
  </si>
  <si>
    <t>349/QĐ-UBND-HC ngày 12/04/2022 của UBND Tỉnh</t>
  </si>
  <si>
    <t>Cụm công nghiệp Quảng Khánh (Giai đoạn 1)</t>
  </si>
  <si>
    <t>TT Đầu tư và Khai thác hạ tầng (Ban Quản lý KKT)</t>
  </si>
  <si>
    <t>1374/QĐ-UBND-HC ngày 14/12/2022 của UBND Tỉnh</t>
  </si>
  <si>
    <t>Xây dựng Hệ thống quản lý quy hoạch hạ tầng đô thị</t>
  </si>
  <si>
    <t>1121/QĐ-UBND-HC ngày 14/10/2022 của UBND Tỉnh</t>
  </si>
  <si>
    <t>Hỗ trợ mục tiêu cho 03 thành phố đầu tư công trình phát triển đô thị theo các Nghị quyết của Tỉnh ủy</t>
  </si>
  <si>
    <t>Nâng cấp và mở rộng đường Phạm Hữu Lầu (cầu Cái Tôm đến đường Thiên Hộ Dương)</t>
  </si>
  <si>
    <t>UBND thành phố Cao Lãnh</t>
  </si>
  <si>
    <t>32/QĐ-UBND ngày 29/3/2023 của UBND TPCL</t>
  </si>
  <si>
    <t>Đường Võ Nguyên Giáp, phường An Lộc</t>
  </si>
  <si>
    <t>UBND thành phố Hồng Ngự</t>
  </si>
  <si>
    <t>1193/QĐ-UBND ngày 12/6/2023 của UBND TPHN</t>
  </si>
  <si>
    <t>Đường Nguyễn Tất Thành, phường An Lộc</t>
  </si>
  <si>
    <t>1195/QĐ-UBND ngày 12/6/2023 của UBND TPHN</t>
  </si>
  <si>
    <t>Đường kết nối cụm công nghiệp</t>
  </si>
  <si>
    <t>1194/QĐ-UBND ngày 12/6/2023 của UBND TPHN</t>
  </si>
  <si>
    <t>Hỗ trợ mục tiêu cho cấp huyện đầu tư công trình phát triển đô thị trên địa bàn tỉnh</t>
  </si>
  <si>
    <t xml:space="preserve">Đường Nguyễn Thị Lựu (đoạn KDC Phường 4 Hòa An - sông Hổ Cứ) </t>
  </si>
  <si>
    <t>2522/QĐ-UBND ngày 30/11/2021; 654/QĐ-UBND ngày 25/4/2022 của UBND TPCL</t>
  </si>
  <si>
    <t xml:space="preserve">Hạ tầng khu đô thị Bắc An Thành </t>
  </si>
  <si>
    <t>Đường rạch Ngã cạy (đoạn từ rạch Cái dâu đến vòng xoay Nguyễn Huệ)</t>
  </si>
  <si>
    <t>1639/QĐ-UBND.HC ngày 29/11/2021; 556/QĐ-UBND.HC ngày 06/11/2023 của UBND huyện</t>
  </si>
  <si>
    <t>Đường Tràm Chim nối dài (từ Tiếp giáp cầu qua kênh Hậu đến đường Đ-03) - Đường Đ-03 (từ đường Tràm Chim nối dài đến đường Đ-06)</t>
  </si>
  <si>
    <t>2209/QĐ-UBND-HC ngày 19/11/2021; 1232/QĐ-UBND-HC ngày 26/10/2023 của UBND huyện</t>
  </si>
  <si>
    <t>Đường Đ-09 ((từ đường Trần Hưng Đạo (nay Võ Văn Kiệt) đến đường Đ-07 (đê bao biến đổi khí hậu))</t>
  </si>
  <si>
    <t>2291/QĐ-UBND-HC ngày 02/12/2021; 643/QĐ-UBND-HC ngày 02/6/2023 của UBND huyện</t>
  </si>
  <si>
    <t>Cầu qua kênh Đường Gạo</t>
  </si>
  <si>
    <t>861/QĐ-UBND.HC ngày 27/6/2022 của UBND huyện</t>
  </si>
  <si>
    <t>UBND huyện Tháp Mười</t>
  </si>
  <si>
    <t xml:space="preserve">Bờ kè hoa viên cặp QL30 (cặp sông Xóm Giồng) </t>
  </si>
  <si>
    <t>1863/QĐ-UBND ngày 30/11/2021; 509/QĐ-UBND ngày 26/9/2022 của UBND huyện</t>
  </si>
  <si>
    <t xml:space="preserve">Đường Đ-07 </t>
  </si>
  <si>
    <t>436/QĐ-UBND.HC 31/10/2019; 11501/QĐ-UBND ngày 17/12/2021 của UBND huyện</t>
  </si>
  <si>
    <t xml:space="preserve">Đường trục Đ-03 (rạch Đốc Vàng Hạ - Võ Văn Kiệt) </t>
  </si>
  <si>
    <t>07/QĐ-UBND.HC ngày 13/01/2023 của UBND huyện</t>
  </si>
  <si>
    <t>Thảm bê tông nhựa nóng Khu hành chính và Cụm dân cư thị trấn Lai Vung</t>
  </si>
  <si>
    <t>142/QĐ-UBND-XDCB ngày 06/6/2023 của UBND huyện</t>
  </si>
  <si>
    <t>Dự án Phát triển đô thị chợ An Long</t>
  </si>
  <si>
    <t xml:space="preserve">Đường Vành đai phía Nam (Đoạn từ Khu dân cư Cái Tàu Hạ đến Tân Nhuận Đông) </t>
  </si>
  <si>
    <t xml:space="preserve">464/QĐ-UBND ngày 02/6/2022 của UBND huyện </t>
  </si>
  <si>
    <t>Nâng cấp mở rộng đường Lê Lợi (đoạn từ đường Hùng Vương đến đường Trần Văn Thể)</t>
  </si>
  <si>
    <t xml:space="preserve">134/QĐ-UBND.ĐTXD ngày 23/6/2022 của UBND huyện </t>
  </si>
  <si>
    <t>Đường ĐT 846 nối dài (đoạn từ cầu Ông Thợ- đường Trần Bá Lê) và cầu Ông Thợ (xã Mỹ Tân – xã Hòa An), xã Hòa An- Mỹ Tân , thành phố Cao Lãnh</t>
  </si>
  <si>
    <t>Đường song song đường hoa Sa Đéc (Sa Nhiên – Cai Dao)</t>
  </si>
  <si>
    <t>Chỉnh trang đô thị và cải thiện môi trường Tuyến dân cư Mương Nhà Máy</t>
  </si>
  <si>
    <t>2023-2026</t>
  </si>
  <si>
    <t>Đường ra biên giới, xã Tân Hội</t>
  </si>
  <si>
    <t>Đường Vành Đai Tây (đoạn đường ĐT846 - KDC Phường 4 Hòa An)</t>
  </si>
  <si>
    <t>2523/QĐ-UBND ngày 30/11/2021; 653/QĐ-UBND ngày 25/4/2022 của UBND TPCL</t>
  </si>
  <si>
    <t>Cầu Trần Hưng Đạo (bắc qua Mương Nhà Máy)</t>
  </si>
  <si>
    <t xml:space="preserve">796/QĐ-UBND ngày 14/4/2023 của UBND TPHN </t>
  </si>
  <si>
    <t>Khu dân cư đường Đ05 (từ đường Đ10 đến đường ĐT 848)</t>
  </si>
  <si>
    <t>888/QĐ-UBND.HC ngày 07/11/2022 của UBND Huyện</t>
  </si>
  <si>
    <t>Đường trục chính số 4, khóm Mỹ Phú Đất Liền</t>
  </si>
  <si>
    <t>125/QĐ-UBND ngày 24/3/2023 của UBND huyện</t>
  </si>
  <si>
    <t xml:space="preserve">Đường ra bến phà Hồng Ngự - Tân Châu (Đ-01) </t>
  </si>
  <si>
    <t>2625/QĐ-UBND ngày 31/5/2022 của UBND Huyện</t>
  </si>
  <si>
    <t>Đường cặp chùa Phước Hưng (đoạn từ đường 30/4 đến đường Ngô Quyền)</t>
  </si>
  <si>
    <t>2184/QĐ-UBND ngày 06/5/2022 của UBND Huyện</t>
  </si>
  <si>
    <t>195/QĐ-UBND-HC ngày 30/06/2022 của UBND huyện</t>
  </si>
  <si>
    <t>Hỗ trợ mục tiêu cho cấp huyện xây dựng trụ sở UBND cấp xã</t>
  </si>
  <si>
    <t>11 huyện, thành (trừ TPCL)</t>
  </si>
  <si>
    <t>Sở Kế hoạch và Đầu tư làm đầu mối</t>
  </si>
  <si>
    <t>Trụ sở UBND xã Phú Thành A</t>
  </si>
  <si>
    <t>Trụ sở UBND thị trấn Sa Rài</t>
  </si>
  <si>
    <t>Trụ sở UBND xã Phương Trà</t>
  </si>
  <si>
    <t>Trụ sở UBND xã Trường Xuân</t>
  </si>
  <si>
    <t>3302/QĐ-UBND ngày 07/6/2022 của UBND huyện</t>
  </si>
  <si>
    <t>Trụ sở UBND xã Đốc Binh Kiều (tên cũ là Cải tạo, nâng cấp Trụ sở UBND xã Đốc Binh Kiều)</t>
  </si>
  <si>
    <t>3698/QĐ-UBND ngày 23/6/2022 của UBND huyện</t>
  </si>
  <si>
    <t>Trụ sở UBND xã An Khánh</t>
  </si>
  <si>
    <t>986/QĐ-UBND ngày 28/10/2022 của UBND huyện</t>
  </si>
  <si>
    <t>Hỗ trợ việc làm bền vững thuộc Chương trình mục tiêu quốc gia giảm nghèo bền vững, giai đoạn 2021 – 2025</t>
  </si>
  <si>
    <t>Sở LĐTBXH</t>
  </si>
  <si>
    <t>1448/QĐ-UBND.HC ngày 30/12/2022 của UBND Tỉnh</t>
  </si>
  <si>
    <t>CẤP HUYỆN QUẢN LÝ</t>
  </si>
  <si>
    <t>Phụ lục 1
 KẾ HOẠCH ĐẦU TƯ CÔNG NĂM 2024 TỪ NGUỒN NGÂN SÁCH
 NHÀ NƯỚC DO TỈNH QUẢN LÝ VÀ PHÂN BỔ</t>
  </si>
  <si>
    <t>Vốn trong nước</t>
  </si>
  <si>
    <t>Vốn nước ngoài (ODA)</t>
  </si>
  <si>
    <t>1.1</t>
  </si>
  <si>
    <t>1.2</t>
  </si>
  <si>
    <t>- Đầu tư các dự án cao tốc, liên kết vùng</t>
  </si>
  <si>
    <t>- Đầu tư các dự án thuộc ngành, lĩnh vực khác</t>
  </si>
  <si>
    <t>- Đối ứng vốn ODA</t>
  </si>
  <si>
    <t>Chuyển tiếp hoàn thành năm 2024</t>
  </si>
  <si>
    <t>VII</t>
  </si>
  <si>
    <t>140/QĐ-UBND-XDCB ngày 18/7/2022; 226/QĐ-UBND-XDCB ngày 23/11/2023 của UBND TPSĐ</t>
  </si>
  <si>
    <t>136/QĐ-UBND-XDCB ngày 15/7/2022; 227/QĐ-UBND-XDCB ngày 23/11/2023 của UBND TPSĐ</t>
  </si>
  <si>
    <t>IX</t>
  </si>
  <si>
    <t>b.1</t>
  </si>
  <si>
    <t>b.2</t>
  </si>
  <si>
    <t>b.3</t>
  </si>
  <si>
    <t>b.4</t>
  </si>
  <si>
    <t>c.1</t>
  </si>
  <si>
    <t>c.2</t>
  </si>
  <si>
    <t>d.1</t>
  </si>
  <si>
    <t>d.2</t>
  </si>
  <si>
    <t>e.1</t>
  </si>
  <si>
    <t>e.2</t>
  </si>
  <si>
    <t>Khu đô thị Bắc Mỹ An</t>
  </si>
  <si>
    <t>e.3</t>
  </si>
  <si>
    <t>Đường trục Đ-05 (từ Quốc lộ 30 đến đường Nguyễn Văn Biểu)</t>
  </si>
  <si>
    <t>660/QĐ-UBND ngày 22/11/2023 của UBND huyện</t>
  </si>
  <si>
    <t>Trong đó, bố trí Chương trình MTQG xây dựng nông thôn mới</t>
  </si>
  <si>
    <t>Kế hoạch vốn
 năm 2024</t>
  </si>
  <si>
    <t>Kế hoạch đầu tư công năm 2024</t>
  </si>
  <si>
    <t>Kế hoạch đầu t ư công năm 2024</t>
  </si>
  <si>
    <t>Đơn vị tính: Triệu đồng.</t>
  </si>
  <si>
    <t>Đơn vị: Triệu đồng</t>
  </si>
  <si>
    <t>Số TT</t>
  </si>
  <si>
    <t>Số công trình</t>
  </si>
  <si>
    <t>Địa điểm mở tài khoản</t>
  </si>
  <si>
    <t>Mã số dự án đầu tư</t>
  </si>
  <si>
    <t>Năng lực thiết kế</t>
  </si>
  <si>
    <t>Thời gian KC-HT</t>
  </si>
  <si>
    <t>Số Quyết định; ngày, tháng, năm ban hành</t>
  </si>
  <si>
    <t xml:space="preserve">Tổng mức đầu tư </t>
  </si>
  <si>
    <t>Kế hoạch
đầu tư
nguồn
NSTW giai
đoạn 2021-
2025</t>
  </si>
  <si>
    <t>Lũy kế bố trí vốn NSTW đến hết KH năm 2023</t>
  </si>
  <si>
    <t>Kế hoạch vốn NSTW năm 2024</t>
  </si>
  <si>
    <t>Kế hoạch vốn đầu tư nguồn NSTW còn lại năm 2024-2025 (sau khi bố trí KH năm 2023)</t>
  </si>
  <si>
    <t>CT chuyển tiếp HT năm 2023</t>
  </si>
  <si>
    <t>CT chuyển tiếp HT sau năm 2023</t>
  </si>
  <si>
    <t>CT KCM năm 2023</t>
  </si>
  <si>
    <t>NSTW</t>
  </si>
  <si>
    <t>NS cấp huyện</t>
  </si>
  <si>
    <t>Nhân dân đóng góp và các nguồn khác</t>
  </si>
  <si>
    <t>Số DA</t>
  </si>
  <si>
    <t>Tổng vốn</t>
  </si>
  <si>
    <t>Huyện đạt chuẩn nông thôn mới giai đoạn 2021-2025</t>
  </si>
  <si>
    <t>Huyện Tam Nông</t>
  </si>
  <si>
    <t>- Mở rộng, nâng cấp đường An Hòa - Hòa Bình (Đoạn từ cầu kênh 2/9 đến cầu kênh Kháng Chiến)</t>
  </si>
  <si>
    <t>Xã An Hòa, xã Phú Thành B</t>
  </si>
  <si>
    <t>KBNN ĐT-TN</t>
  </si>
  <si>
    <t>Dài 4,6km, nền đường rộng 7,5m, mặt đường láng nhựa rộng 5,5m</t>
  </si>
  <si>
    <t xml:space="preserve">234/QĐ-UBND-HC ngày 09/3/2023 của UBND huyện </t>
  </si>
  <si>
    <t>- Mở rộng, nâng cấp Đường Bờ Nam kênh Tân Công Sính 1 (Đoạn từ đường ĐT855 đến kênh ranh TCS - PC)</t>
  </si>
  <si>
    <t>Xã Tân Công Sính</t>
  </si>
  <si>
    <t>Dài 2km, nền đường rộng 7,5m, mặt đường láng nhựa rộng 5,5m</t>
  </si>
  <si>
    <t xml:space="preserve">235/QĐ-UBND-HC ngày 09/3/2023 của UBND huyện </t>
  </si>
  <si>
    <t>- Mở rộng, nâng cấp Đường Bờ Đông kênh Mười tải (Đoạn từ kênh Tân Công Sính 1 đến kênh Phước xuyên)</t>
  </si>
  <si>
    <t>Xã Phú Cường, xã Hòa Bình</t>
  </si>
  <si>
    <t>Dài 5km, nền đường rộng 7,5m, mặt đường láng nhựa rộng 5,5m</t>
  </si>
  <si>
    <t>193/QĐ-UBND-HC ngày 03/3/2023 của UBND huyện</t>
  </si>
  <si>
    <t>Huyện Thanh Bình</t>
  </si>
  <si>
    <t>- Đường kênh 2/9 (Đoạn 1: từ ranh Thanh Bình-Tam Nông đến cầu APMH (bờ Nam) và từ cầu APMH đến cầu dường Gạo (bờ Bắc); Đoạn 2: từ cầu APMH đến cầu Đốc Vàng Thượng (bờ Nam) và từ cầu Đốc Vàng Thượng đến Rạch Đốc Vàng Hạ (bờ Nam))</t>
  </si>
  <si>
    <t>xã An Phong, Phú Lợi</t>
  </si>
  <si>
    <t>KBNN ĐT-TB</t>
  </si>
  <si>
    <t>Dài 16.350m, mặt nhựa 5,5m, nền rộng 7,5m, tải trọng 5T, cống</t>
  </si>
  <si>
    <t>210a/QĐ.UBND ngày 14/7/2022 của UBND huyện</t>
  </si>
  <si>
    <t>- Đường Kênh Đốc Vàng Thượng (đoạn tờ ranh Thị trấn Thanh Bình đến kênh 2/9), bờ Đông</t>
  </si>
  <si>
    <t>xã Tân Thạnh</t>
  </si>
  <si>
    <t>Mặt nhựa 4m, nền rộng 5,5m, tải trọng 5T, cống</t>
  </si>
  <si>
    <t>345a/QĐ.UBND ngày 05/10/2023 của UBND huyện</t>
  </si>
  <si>
    <t>- Đường kênh 2/9 (đoạn từ đường Võ Văn Kiệt đến hết tuyến dân cư)</t>
  </si>
  <si>
    <t>xã Tân Phú</t>
  </si>
  <si>
    <t>Mặt nhựa 5,5m, nền rộng 7,5m, tải trọng 5T, vỉa hè</t>
  </si>
  <si>
    <t>345b/QĐ.UBND ngày 05/10/2023 của UBND huyện</t>
  </si>
  <si>
    <t>- Đường kênh Kháng Chiến (đoạn từ đường Bình Thành - Bình Tấn đến kênh Cả Cái)</t>
  </si>
  <si>
    <t>xã Bình Thành</t>
  </si>
  <si>
    <t>345c/QĐ.UBND ngày 05/10/2023 của UBND huyện</t>
  </si>
  <si>
    <t>Hỗ trợ xã đạt chuẩn nông thôn mới và các xã duy trì, nâng chất nông thôn mới</t>
  </si>
  <si>
    <t>Huyện Tân Hồng</t>
  </si>
  <si>
    <t>Xã Thông Bình</t>
  </si>
  <si>
    <t>- Đường nội bộ cụm dân cư Cà Vàng</t>
  </si>
  <si>
    <t>KBNN ĐT-TH</t>
  </si>
  <si>
    <t>Ban QLXD NTM xã</t>
  </si>
  <si>
    <t>Nâng cấp, cải tạo, dài 2,8km</t>
  </si>
  <si>
    <t>180/QĐ-UBND.XDCB ngày 04/11/2022</t>
  </si>
  <si>
    <t>Xã An Phước</t>
  </si>
  <si>
    <t>- Đường trục chính nội đồng An Phát - An Tài</t>
  </si>
  <si>
    <t>Nền rộng 5m, mặt nhựa rộng  3,5m, dài 4,085km</t>
  </si>
  <si>
    <t>748/QĐ-UBND.ĐTXD ngày 07/11/2022</t>
  </si>
  <si>
    <t>1.3</t>
  </si>
  <si>
    <t>Xã Tân Hộ Cơ</t>
  </si>
  <si>
    <t>- Đường nội đồng HTX Tân Lập (đoạn từ nhà Bào ô Môi đến lộ quốc phòng)</t>
  </si>
  <si>
    <t>Nâng cấp, dài 2,883km</t>
  </si>
  <si>
    <t xml:space="preserve">181/QĐ-UBND.ĐTXD ngày 07/11/2022 </t>
  </si>
  <si>
    <t>- Đường bờ tây kênh Tân Thành, đoạn từ nhà ông Hòa đến nhà ông Hưởng</t>
  </si>
  <si>
    <t>Nâng cấp, cán đá cấp phối mặt 3,5m, dài 3,5km</t>
  </si>
  <si>
    <t xml:space="preserve">180a/QĐ-UBND.ĐTXD ngày 04/11/2022 </t>
  </si>
  <si>
    <t>1.4</t>
  </si>
  <si>
    <t>Xã Tân Công Chí</t>
  </si>
  <si>
    <t>- Đường Lộ Làng (đoạn ĐT843 đến Kênh Sa Rài)</t>
  </si>
  <si>
    <t>Nâng cấp nền, láng nhựa mặt rộng 3,5m, dài 1,55km</t>
  </si>
  <si>
    <t>126/QĐ-UBND/XDCB ngày 31/8/2023</t>
  </si>
  <si>
    <t>- Đường cặp nhà ông Sáu Bê</t>
  </si>
  <si>
    <t>Nâng cấp nền, láng nhựa mặt rộng 3,5m, dài 1,1km</t>
  </si>
  <si>
    <t>127/QĐ-UBND/XDCB ngày 31/8/2023</t>
  </si>
  <si>
    <t>Huyện Hồng Ngự</t>
  </si>
  <si>
    <t>2.1</t>
  </si>
  <si>
    <t>Xã Long Khánh A</t>
  </si>
  <si>
    <t>- Đường ngõ xóm Long Hữu (từ nhà ông Chưởng đến nhà ông Mí)</t>
  </si>
  <si>
    <t>KBNN ĐT-HN</t>
  </si>
  <si>
    <t>Mặt 3,5m, dài 1km</t>
  </si>
  <si>
    <t>3341/QĐ-UBND ngày 08/9/2023</t>
  </si>
  <si>
    <t>2.2</t>
  </si>
  <si>
    <t>Xã Long Khánh B</t>
  </si>
  <si>
    <t>- Kiên cố hóa đường nước số 2 (từ Nhà 2 Buôl đến Cống Mương Bọng)</t>
  </si>
  <si>
    <t>Máng nước BTCT, dài 1,5km</t>
  </si>
  <si>
    <t>3558/QĐ-UBND ngày 25/9/2023</t>
  </si>
  <si>
    <t>2.3</t>
  </si>
  <si>
    <t>Xã Thường Thới Hậu A</t>
  </si>
  <si>
    <t>- Đường Cội Tiểu Tứ Thường (đoạn 2)</t>
  </si>
  <si>
    <t>Nền, mặt đường và gia cố mái taluy</t>
  </si>
  <si>
    <t>3461/QĐ-UBND ngày 14/9/2023</t>
  </si>
  <si>
    <t>2.4</t>
  </si>
  <si>
    <t>Xã Thường Phước 1</t>
  </si>
  <si>
    <t>- Nâng cấp đường nhựa xã Thường Phước 1 (đoạn 2)</t>
  </si>
  <si>
    <t>Mặt 5,0m; dài 2,5km</t>
  </si>
  <si>
    <t>3342/QĐ-UBND ngày 08/9/2023</t>
  </si>
  <si>
    <t>2.5</t>
  </si>
  <si>
    <t>Xã Thường Lạc</t>
  </si>
  <si>
    <t>- Đường nội đồng Kênh Xã</t>
  </si>
  <si>
    <t>Mặt đan BTCT 3,5m; dài 1,5km</t>
  </si>
  <si>
    <t>3462/QĐ-UBND ngày 14/9/2023</t>
  </si>
  <si>
    <t>2.6</t>
  </si>
  <si>
    <t>Xã Thường Phước 2</t>
  </si>
  <si>
    <t>- Đường nội đồng bờ Đông kênh Trung tâm</t>
  </si>
  <si>
    <t>Mặt 3,5m; dài 1,5km</t>
  </si>
  <si>
    <t>3557/QĐ-UBND ngày 25/9/2023</t>
  </si>
  <si>
    <t>2.7</t>
  </si>
  <si>
    <t>Xã Phú Thuận A</t>
  </si>
  <si>
    <t>- Kiên cố hóa đường nước Mương tư Đồng</t>
  </si>
  <si>
    <t>Máng nước BTCT, dài 700m</t>
  </si>
  <si>
    <t>3559/QĐ-UBND ngày 25/9/2023</t>
  </si>
  <si>
    <t>Thành phố Hồng Ngự</t>
  </si>
  <si>
    <t>3.1</t>
  </si>
  <si>
    <t>Xã Tân Hội</t>
  </si>
  <si>
    <t>- Nhựa hóa đường nhánh CDC Trung tâm xã (giai đoạn 2)</t>
  </si>
  <si>
    <t>KBNN ĐT-TPHN</t>
  </si>
  <si>
    <t xml:space="preserve">Mặt 3,5m, dài 350m, vĩa hè 3m, tưới nhựa. </t>
  </si>
  <si>
    <t>192/QĐ-UBND ngày 24/11/2023</t>
  </si>
  <si>
    <t>3.2</t>
  </si>
  <si>
    <t>Xã Bình Thạnh</t>
  </si>
  <si>
    <t>- Mở rộng và nâng cấp đường TDC Cần Sen 1</t>
  </si>
  <si>
    <t xml:space="preserve"> Dài 700m, mặt 5m</t>
  </si>
  <si>
    <t>103A/QĐ-UBND ngày 24/11/2023</t>
  </si>
  <si>
    <t>4.1</t>
  </si>
  <si>
    <t>Xã Phú Lợi</t>
  </si>
  <si>
    <t xml:space="preserve">- Đường Rọc Sen (đoạn từ kênh 2/9 đến kênh An Phong - Mỹ Hòa) </t>
  </si>
  <si>
    <t>Dài 3,3km, mặt BTCT rộng 3,5m, tải trọng 5T</t>
  </si>
  <si>
    <t>Số 365/QĐ-UBND ngày 11/8/2022</t>
  </si>
  <si>
    <t>- Đường nội đồng (đoạn từ Miễu bà ấp 1 kênh 2/9 đến giáp đất ông Bầu Lời)</t>
  </si>
  <si>
    <t>Dài 1,2km, mặt BTCT rộng 3,0m, tải trọng 5T</t>
  </si>
  <si>
    <t>Số 366/QĐ-UBND ngày 11/8/2022</t>
  </si>
  <si>
    <t>- Đường kênh Đường Gạo (Bờ Tây đoạn từ kênh 2/9 - kênh AP-MH)</t>
  </si>
  <si>
    <t>Dài 1,5km, mặt BTCT rộng 3,5m, tải trọng 5T</t>
  </si>
  <si>
    <t>Số 370a/QĐ.UBND ngày 11/08/2022</t>
  </si>
  <si>
    <t>- Đường nội đồng: (đoạn từ đất ông Bầu Lời đến kênh An Phong - Mỹ Hòa)</t>
  </si>
  <si>
    <t>Dài 1,6km, mặt BTCT rộng 3,5m, tải trọng 5T</t>
  </si>
  <si>
    <t>189/QĐ.UBND ngày 05/10/2023</t>
  </si>
  <si>
    <t>- Đường kênh Cả Gáo (từ kênh An Phong - Mỹ Hòa đến kênh Đường Gạo)</t>
  </si>
  <si>
    <t>Cứng hóa mặt BTCT rộng 3,0m, tải trọng 5T</t>
  </si>
  <si>
    <t>186/QĐ.UBND ngày 05/10/2023</t>
  </si>
  <si>
    <t>4.2</t>
  </si>
  <si>
    <t>Xã Tân Phú</t>
  </si>
  <si>
    <t>- Cứng hóa kênh đường Cả Nga đoạn từ thị trấn đến nhà ông Đực</t>
  </si>
  <si>
    <t>Dài 3,8km, mặt BTCT rộng 3,0m, tải trọng 5T</t>
  </si>
  <si>
    <t>259/QĐ.UBND ngày 09/8/2022</t>
  </si>
  <si>
    <t>- Cứng hóa đường kênh Láng Tượng (Kênh 2/9 đến Láng Tượng)</t>
  </si>
  <si>
    <t>Dài 3,5km, mặt BTCT rộng 3,0m</t>
  </si>
  <si>
    <t>263/QĐ.UBND ngày 10/11/2022</t>
  </si>
  <si>
    <t>- Cứng hóa đường kênh Láng tượng, bờ bắc (từ kênh Hố đấu đến kênh Cả Tre); hạng mục: xây dựng mới mặt đan BTCT 3,5m</t>
  </si>
  <si>
    <t>297/QĐ.UBND ngày 05/10/2023</t>
  </si>
  <si>
    <t>4.3</t>
  </si>
  <si>
    <t>Xã Tân Mỹ</t>
  </si>
  <si>
    <t>- Cứng hóa bờ bao kênh Đốc Vàng Hạ (từ kênh Kháng Chiến đến kênh An Phong - Mỹ Hòa)</t>
  </si>
  <si>
    <t>Dài 3,2km, mặt BTCT rộng 3,0m, tải trọng 5T</t>
  </si>
  <si>
    <t>246/QĐ.UBND ngày 10/8/2022</t>
  </si>
  <si>
    <t>- Cứng hóa đường nội đồng kinh Ông Ninh (kênh Kháng Chiến đến kênh An Phong - Mỹ Hòa)</t>
  </si>
  <si>
    <t xml:space="preserve">247/QĐ.UBND ngày 10/8/2022 </t>
  </si>
  <si>
    <t>- Cứng hóa đường bờ Đông Đốc Vàng Hạ (Đường đal Miễu Bà đến nhà Hai Phận)</t>
  </si>
  <si>
    <t>Dài 650m, mặt BTCT rộng 3,5m, tải trọng 5T</t>
  </si>
  <si>
    <t>382/QĐ.UBND ngày 24/11/2022</t>
  </si>
  <si>
    <t>- Giao thông kết hợp bờ bao bảo vệ sản xuất đường kênh An Phong-Mỹ Hòa (rạch Đốc Vàng Hạ đến kênh Thống Nhất)</t>
  </si>
  <si>
    <t>385/QĐ.UBND ngày 24/11/2022</t>
  </si>
  <si>
    <t>- Cứng hóa bờ bao kênh Kháng Chiến (bờ bắc từ Phú Lợi đến rạch Đốc Vàng Hạ (Ba Nghề))</t>
  </si>
  <si>
    <t>Dài 800m, mặt BTCT rộng 3,0m</t>
  </si>
  <si>
    <t>384/QĐ.UBND ngày 24/11/2022</t>
  </si>
  <si>
    <t>Cứng hóa mặt BTCT rộng 3,0m</t>
  </si>
  <si>
    <t xml:space="preserve">196/QĐ.UBND ngày 05/10/2023 </t>
  </si>
  <si>
    <t>5.1</t>
  </si>
  <si>
    <t>Xã An Long</t>
  </si>
  <si>
    <t>- Cầu kênh 2/9</t>
  </si>
  <si>
    <t>Cầu BTCT mặt 3,5m; Tải trọng 5T</t>
  </si>
  <si>
    <t>649/QĐ-UBND ngày 16/6/2022; 95/QĐ-UBND ngày 22/6/2023</t>
  </si>
  <si>
    <t>- Đường bờ Tây kênh An Long 2</t>
  </si>
  <si>
    <t>Đường láng nhựa, mặt 3,5m; nền 5m; dài 2.000m</t>
  </si>
  <si>
    <t>96/QĐ-UBND ngày 22/6/2023</t>
  </si>
  <si>
    <t>5.2</t>
  </si>
  <si>
    <t>Xã Phú Thành A</t>
  </si>
  <si>
    <t>- Cứng hóa mặt bờ lộ đal bờ Tây kênh Kháng Chiến, Phú Thành A (xuất phát từ Rạch Ba Răng đến ranh xã Phú Thọ)</t>
  </si>
  <si>
    <t>Đường BTCT dài 3,1km</t>
  </si>
  <si>
    <t>17/QĐ-UBND ngày 10/10/2023</t>
  </si>
  <si>
    <t>- Cứng hóa mặt bờ bao lộ đal tuyến bờ Tây kênh Kháng Chiến, Phú Thành A (xuất phát từ kênh Đồng Tiến đến kênh Tư Đệ - Láng Chim)</t>
  </si>
  <si>
    <t>Đường láng nhựa dài 3,1km</t>
  </si>
  <si>
    <t>39/QĐ-UBND ngày 09/6/2022</t>
  </si>
  <si>
    <t>5.3</t>
  </si>
  <si>
    <t>Xã Phú Hiệp</t>
  </si>
  <si>
    <t>- Cầu Hiệp Bình</t>
  </si>
  <si>
    <t>37/QĐ-UBND ngày 22/6/2023</t>
  </si>
  <si>
    <t>5.5</t>
  </si>
  <si>
    <t>Xã Phú Thành B</t>
  </si>
  <si>
    <t>- Cứng hóa mặt bờ bao lộ đal tuyến kênh An Bình bờ Bắc, Phú Thành B (xuất phát từ Phú Thành 1 và kết thúc tại kênh Kháng Chiến)</t>
  </si>
  <si>
    <t>Đường láng nhựa dài 2,35km</t>
  </si>
  <si>
    <t>105/QĐ-UBND ngày 25/9/2023</t>
  </si>
  <si>
    <t>Huyện Tháp Mười</t>
  </si>
  <si>
    <t>6.1</t>
  </si>
  <si>
    <t xml:space="preserve">Xã Mỹ An </t>
  </si>
  <si>
    <t xml:space="preserve"> - Chiếu sáng công cộng các tuyến đường trên địa bàn xã</t>
  </si>
  <si>
    <t>KBNN ĐT-TM</t>
  </si>
  <si>
    <t>Dài 4,5 km</t>
  </si>
  <si>
    <t>203/QĐ-UBND ngày 30/11/2023</t>
  </si>
  <si>
    <t>6.2</t>
  </si>
  <si>
    <t>Xã Đốc Binh Kiều</t>
  </si>
  <si>
    <t xml:space="preserve"> - Đường kênh Bà Ba (kênh Xáng - kênh Nguyễn Văn Tiếp B)</t>
  </si>
  <si>
    <t>Dài 1,7km</t>
  </si>
  <si>
    <t xml:space="preserve">148/QĐ-UBND; ngày 17/11/2023 </t>
  </si>
  <si>
    <t>6.3</t>
  </si>
  <si>
    <t>Xã Trường Xuân</t>
  </si>
  <si>
    <t>- Cầu kênh Đường Thét - kênh HKI</t>
  </si>
  <si>
    <t>Dài 39m</t>
  </si>
  <si>
    <t>2022 - 2024</t>
  </si>
  <si>
    <t>124/QĐ-UBND ngày 8/8/2022</t>
  </si>
  <si>
    <t xml:space="preserve"> - Nâng cấp đường nam kênh Hội Kỳ Nhất</t>
  </si>
  <si>
    <t>Dài 2km</t>
  </si>
  <si>
    <t xml:space="preserve">198/QĐ-UBND ngày 27/11/2023 </t>
  </si>
  <si>
    <t>6.4</t>
  </si>
  <si>
    <t>Xã Phú Điền</t>
  </si>
  <si>
    <t xml:space="preserve"> - Cầu kênh 1000 ấp Mỹ Phú - ấp Mỹ Tân</t>
  </si>
  <si>
    <t>Dài 27m, tải trọng 2,5T</t>
  </si>
  <si>
    <t xml:space="preserve">104/QĐ-UBND ngày 22/11/2023 </t>
  </si>
  <si>
    <t>Huyện Cao Lãnh</t>
  </si>
  <si>
    <t>7.1</t>
  </si>
  <si>
    <t>Xã Tân Nghĩa</t>
  </si>
  <si>
    <t xml:space="preserve">- Đường trục chính nội đồng khu rau màu </t>
  </si>
  <si>
    <t>KBNN ĐT-CL</t>
  </si>
  <si>
    <t>Cán đá láng nhựa, chiều dài 2,8km, mặt rộng 3,5m</t>
  </si>
  <si>
    <t>90/QĐ-UBND ngày 5/7/2022</t>
  </si>
  <si>
    <t>7.2</t>
  </si>
  <si>
    <t>Xã An Bình</t>
  </si>
  <si>
    <t xml:space="preserve">- Đường Tám Bên - cầu Ngọn Ngã Cạy </t>
  </si>
  <si>
    <t>Cán đá láng nhựa, chiều dài 2km, nền rộng 5m, mặt rộng 3,5m</t>
  </si>
  <si>
    <t>07/QĐ-UBND.NTM ngày 26/7/2022</t>
  </si>
  <si>
    <t>7.3</t>
  </si>
  <si>
    <t>Xã Mỹ Hội</t>
  </si>
  <si>
    <t>- Đường Đông Mỹ (đoạn từ cầu Bình Định đến cầu Tân Trường)</t>
  </si>
  <si>
    <t>Cán đá láng nhựa, chiều dài 900m, mặt rộng 3,5m</t>
  </si>
  <si>
    <t>10/QĐ-UBND, ngày 13/7/2022</t>
  </si>
  <si>
    <t>Huyện Châu Thành</t>
  </si>
  <si>
    <t>8.1</t>
  </si>
  <si>
    <t>Xã An Nhơn</t>
  </si>
  <si>
    <t>- Đường Cái Xếp - Hang Mai (bờ đông), xã An Nhơn</t>
  </si>
  <si>
    <t>KBNN ĐT-CT</t>
  </si>
  <si>
    <t>Dài 2,05km, nền rộng 5m, mặt rộng 3,5m, láng nhựa</t>
  </si>
  <si>
    <t xml:space="preserve">377/QĐ-UBND ngày 05/8/2022 </t>
  </si>
  <si>
    <t xml:space="preserve">Hỗ trợ thực hiện Chương trình mỗi xã một sản phẩm (OCOP) giai đoạn 2021-2025
</t>
  </si>
  <si>
    <t>- Dự án Mô hình điểm phát triển sản phẩm OCOP - Sản phẩm từ sen trên địa bàn huyện Tháp Mười, tỉnh Đồng Tháp</t>
  </si>
  <si>
    <t>7338/QĐ-UBND
25/10/2023 của
UBND huyện</t>
  </si>
  <si>
    <t>Chi tiết tại Phụ lục 03a</t>
  </si>
  <si>
    <t>Phụ lục 03a</t>
  </si>
  <si>
    <t>tỉnh ĐT</t>
  </si>
  <si>
    <t>1226/QĐ-UBND-HC ngày 28/11/2023 của UBND Tỉnh</t>
  </si>
  <si>
    <t>42/NQ-HĐND ngày 13/11/2023 của HĐND Tỉnh</t>
  </si>
  <si>
    <t>2020-2024</t>
  </si>
  <si>
    <t>2021 2024</t>
  </si>
  <si>
    <t>2021 - 2024</t>
  </si>
  <si>
    <t>2020- 2024</t>
  </si>
  <si>
    <t>25/QĐ-UBND.HC ngày 27/01/2022; 338/QĐ-UBND.HC ngày 31/10/2023 của UBND huyện</t>
  </si>
  <si>
    <t>563/QĐ-UBND-XDCB ngày 14/11/2023 của UBND huyện</t>
  </si>
  <si>
    <t>280/QĐ-UBND ngày 24/8/2023 của UBND huyện</t>
  </si>
  <si>
    <t>237/QĐ-UBND.HC ngày 11/7/2023 của UBND huyện</t>
  </si>
  <si>
    <t>2024-2024</t>
  </si>
  <si>
    <t>*</t>
  </si>
  <si>
    <t>228/QĐUBND.HCngày 18/7/2022; 234a/QĐ-UBND.HC ngày 07/7/2023 của UBND huyện</t>
  </si>
  <si>
    <t>206/QĐ-UBND ngày 11/6/2021; 383/QĐ-UBND ngày 26/10/2023 của UBND Huyện</t>
  </si>
  <si>
    <t>357/QĐ-UBND.HC ngày 22/7/2021; 435/QĐ-UBND.HC ngày 24/11/2023 của UBND Huyện</t>
  </si>
  <si>
    <t xml:space="preserve"> 197/QĐ-UBND.HC ngày 04/7/2022 của UBND huyện</t>
  </si>
  <si>
    <t xml:space="preserve">1821/QĐ-UBND ngày 30/8/2021; 1585/QĐ-UBND ngày 11/8/2023 của UBND TPHN </t>
  </si>
  <si>
    <t>5357/QĐ-UBND ngày 21/12/2020; 8075/QĐ-UBND ngày 22/11/2023 của UBND huyện</t>
  </si>
  <si>
    <t xml:space="preserve">2724/QĐ-UBND ngày 17/12/2021; 2905/QĐ-UBND ngày 04/12/2023 của UBND TPHN </t>
  </si>
  <si>
    <t>2831/QĐ-UBND ngày 28/11/2023 của UBND TPHN</t>
  </si>
  <si>
    <t>2904/QĐ-UBND ngày 04/12/2023 của UBND TPHN</t>
  </si>
  <si>
    <t>162/QĐ-UBND ngày 04/12/2023 của UBND TPCL</t>
  </si>
  <si>
    <t>471/QĐ-UBND-XDCB ngày 03/11/2022; 197/QĐ-UBND-XDCB ngày 11/10/2023 của UBND TPSĐ</t>
  </si>
  <si>
    <t>2423/QĐ-UBND-HC ngày 24/12/2021; 1410/QĐ-UBND-HC ngày 07/12/2023 của UBND huyện</t>
  </si>
  <si>
    <t>2018-2024</t>
  </si>
  <si>
    <t>Chống chịu khí hậu tổng hợp và sinh kế bền vững Đồng bằng sông Cửu Long (MD-ICRSL); Tiểu dự án Nâng cao khả năng thoát lũ và phát triển sinh kế bền vững thích ứng với khí hậu cho vùng Đồng Tháp Mười (WB9) (Trả nợ gốc, lãi phí các khoản do chính quyền địa phương vay)</t>
  </si>
  <si>
    <t>Tổ hợp thể thao xã Tân Mỹ</t>
  </si>
  <si>
    <t>27/QĐ-UBND.HC ngày 27/01/2022; 281/QĐ-UBND.HC ngày 24/8/2023 của UBND huyện</t>
  </si>
  <si>
    <t>516/QĐ-UBND ngày 26/8/2020; 668/QĐ-UBND ngày 11/12/2023 của UBND huyện</t>
  </si>
  <si>
    <t>Chi cho công tác đo đạc lập bản đồ địa chính và quản lý đất công, đăng ký đất đai theo Nghị quyết số 41/2023/NQ-HĐND ngày 18/7/2023 của HĐND Tỉnh</t>
  </si>
  <si>
    <t>383/QĐ-UBND.HC ngày 31/3/2023 của UBND Tỉnh</t>
  </si>
  <si>
    <t>CHI TIẾT DỰ KIẾN KẾ HOẠCH ĐẦU TƯ NGUỒN NSTW NĂM 2024 THỰC HIỆN CHƯƠNG TRÌNH MTQG XÂY DỰNG NÔNG THÔN MỚI
 TRÊN ĐỊA BÀN TỈNH ĐỒNG THÁP</t>
  </si>
  <si>
    <t>Kế hoạch vốn năm 2024 giao đợt 1</t>
  </si>
  <si>
    <t>3 = 4 + 5</t>
  </si>
  <si>
    <r>
      <t xml:space="preserve">Phụ lục 2
GIAO KẾ HOẠCH ĐẦU TƯ CÔNG NĂM 2024 TỪ NGUỒN NGÂN SÁCH DO TỈNH QUẢN LÝ VÀ PHÂN BỔ
</t>
    </r>
    <r>
      <rPr>
        <b/>
        <i/>
        <sz val="16"/>
        <rFont val="Times New Roman"/>
        <family val="1"/>
      </rPr>
      <t>(Theo ngành, lĩnh vực)</t>
    </r>
  </si>
  <si>
    <t>Kế hoạch vốn năm 2024 còn lại chưa giao</t>
  </si>
  <si>
    <t>Số vốn đủ điều kiện phân khai</t>
  </si>
  <si>
    <t>Số vốn đang rà soát để phân khai</t>
  </si>
  <si>
    <t>I.1</t>
  </si>
  <si>
    <t>I.2</t>
  </si>
  <si>
    <t>KẾ HOẠCH ĐẦU TƯ CÔNG NĂM 2024 TỪ NGUỒN VỐN NGÂN SÁCH NHÀ NƯỚC DO TỈNH QUẢN LÝ VÀ PHÂN BỔ (ĐỢT 1)</t>
  </si>
  <si>
    <t>(Kèm theo Nghị quyết số 48/NQ-HĐND ngày 09 tháng 12 năm 2023 của HĐND tỉnh Đồng Tháp)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</si>
</sst>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0\ _₫_-;\-* #,##0\ _₫_-;_-* &quot;-&quot;\ _₫_-;_-@_-"/>
    <numFmt numFmtId="43" formatCode="_-* #,##0.00\ _₫_-;\-* #,##0.00\ _₫_-;_-* &quot;-&quot;??\ _₫_-;_-@_-"/>
    <numFmt numFmtId="164" formatCode="&quot;True&quot;;&quot;True&quot;;&quot;False&quot;"/>
    <numFmt numFmtId="165" formatCode="_(* #,##0_);_(* \(#,##0\);_(* &quot;-&quot;??_);_(@_)"/>
    <numFmt numFmtId="166" formatCode="0.0%"/>
    <numFmt numFmtId="167" formatCode="#,##0.000"/>
    <numFmt numFmtId="168" formatCode="#,##0_ ;\-#,##0\ "/>
  </numFmts>
  <fonts count="60" x14ac:knownFonts="1">
    <font>
      <sz val="11"/>
      <color theme="1"/>
      <name val="Arial"/>
      <family val="2"/>
      <scheme val="minor"/>
    </font>
    <font>
      <sz val="11"/>
      <color theme="1"/>
      <name val="Arial"/>
      <family val="2"/>
      <charset val="163"/>
      <scheme val="minor"/>
    </font>
    <font>
      <sz val="11"/>
      <color theme="1"/>
      <name val="Arial"/>
      <family val="2"/>
      <scheme val="minor"/>
    </font>
    <font>
      <sz val="14"/>
      <name val="Times New Roman"/>
      <family val="1"/>
    </font>
    <font>
      <sz val="12"/>
      <name val="Times New Roman"/>
      <family val="1"/>
    </font>
    <font>
      <sz val="10"/>
      <name val="Arial"/>
      <family val="2"/>
    </font>
    <font>
      <b/>
      <sz val="14"/>
      <name val="Times New Roman"/>
      <family val="1"/>
    </font>
    <font>
      <i/>
      <sz val="14"/>
      <name val="Times New Roman"/>
      <family val="1"/>
    </font>
    <font>
      <sz val="11"/>
      <color indexed="8"/>
      <name val="Calibri"/>
      <family val="2"/>
    </font>
    <font>
      <sz val="11"/>
      <color theme="1"/>
      <name val="Calibri"/>
      <family val="2"/>
      <charset val="163"/>
    </font>
    <font>
      <sz val="13"/>
      <name val="Times New Roman"/>
      <family val="1"/>
    </font>
    <font>
      <i/>
      <sz val="12"/>
      <name val="Times New Roman"/>
      <family val="1"/>
    </font>
    <font>
      <b/>
      <sz val="13"/>
      <name val="Times New Roman"/>
      <family val="1"/>
    </font>
    <font>
      <b/>
      <i/>
      <sz val="13"/>
      <name val="Times New Roman"/>
      <family val="1"/>
    </font>
    <font>
      <i/>
      <sz val="13"/>
      <name val="Times New Roman"/>
      <family val="1"/>
    </font>
    <font>
      <b/>
      <u/>
      <sz val="13"/>
      <name val="Times New Roman"/>
      <family val="1"/>
    </font>
    <font>
      <sz val="11"/>
      <name val="Arial"/>
      <family val="2"/>
      <scheme val="minor"/>
    </font>
    <font>
      <b/>
      <u/>
      <sz val="12"/>
      <name val="Times New Roman"/>
      <family val="1"/>
    </font>
    <font>
      <u/>
      <sz val="12"/>
      <name val="Arial"/>
      <family val="2"/>
      <scheme val="minor"/>
    </font>
    <font>
      <sz val="12"/>
      <name val="Arial"/>
      <family val="2"/>
      <scheme val="minor"/>
    </font>
    <font>
      <i/>
      <sz val="12"/>
      <name val="Arial"/>
      <family val="2"/>
      <scheme val="minor"/>
    </font>
    <font>
      <i/>
      <sz val="10"/>
      <name val="Arial"/>
      <family val="2"/>
      <scheme val="minor"/>
    </font>
    <font>
      <u/>
      <sz val="11"/>
      <color theme="10"/>
      <name val="Arial"/>
      <family val="2"/>
      <scheme val="minor"/>
    </font>
    <font>
      <u/>
      <sz val="13"/>
      <name val="Arial"/>
      <family val="2"/>
      <scheme val="minor"/>
    </font>
    <font>
      <i/>
      <sz val="13"/>
      <name val="Arial"/>
      <family val="2"/>
      <scheme val="minor"/>
    </font>
    <font>
      <sz val="13"/>
      <name val="Arial"/>
      <family val="2"/>
      <scheme val="minor"/>
    </font>
    <font>
      <i/>
      <sz val="18"/>
      <name val="Times New Roman"/>
      <family val="1"/>
    </font>
    <font>
      <sz val="20"/>
      <name val="Times New Roman"/>
      <family val="1"/>
    </font>
    <font>
      <i/>
      <sz val="20"/>
      <name val="Times New Roman"/>
      <family val="1"/>
    </font>
    <font>
      <b/>
      <sz val="12"/>
      <name val="Times New Roman"/>
      <family val="1"/>
    </font>
    <font>
      <b/>
      <i/>
      <sz val="12"/>
      <name val="Times New Roman"/>
      <family val="1"/>
    </font>
    <font>
      <u/>
      <sz val="12"/>
      <name val="Times New Roman"/>
      <family val="1"/>
    </font>
    <font>
      <b/>
      <i/>
      <u/>
      <sz val="12"/>
      <name val="Times New Roman"/>
      <family val="1"/>
    </font>
    <font>
      <b/>
      <i/>
      <sz val="12"/>
      <color theme="0"/>
      <name val="Times New Roman"/>
      <family val="1"/>
    </font>
    <font>
      <sz val="12"/>
      <color theme="0"/>
      <name val="Times New Roman"/>
      <family val="1"/>
    </font>
    <font>
      <b/>
      <sz val="16"/>
      <name val="Times New Roman"/>
      <family val="1"/>
    </font>
    <font>
      <b/>
      <i/>
      <sz val="16"/>
      <name val="Times New Roman"/>
      <family val="1"/>
    </font>
    <font>
      <i/>
      <sz val="16"/>
      <name val="Times New Roman"/>
      <family val="1"/>
    </font>
    <font>
      <sz val="12"/>
      <color theme="1"/>
      <name val="Times New Roman"/>
      <family val="1"/>
    </font>
    <font>
      <sz val="12"/>
      <color theme="1"/>
      <name val="Times New Roman"/>
      <family val="2"/>
    </font>
    <font>
      <b/>
      <sz val="14"/>
      <color theme="1"/>
      <name val="Times New Roman"/>
      <family val="1"/>
    </font>
    <font>
      <i/>
      <sz val="14"/>
      <color theme="1"/>
      <name val="Times New Roman"/>
      <family val="1"/>
    </font>
    <font>
      <i/>
      <sz val="12"/>
      <color theme="1"/>
      <name val="Times New Roman"/>
      <family val="1"/>
    </font>
    <font>
      <i/>
      <sz val="12"/>
      <color theme="0"/>
      <name val="Times New Roman"/>
      <family val="1"/>
    </font>
    <font>
      <b/>
      <sz val="12"/>
      <color theme="0"/>
      <name val="Times New Roman"/>
      <family val="1"/>
    </font>
    <font>
      <b/>
      <i/>
      <sz val="12"/>
      <color theme="1"/>
      <name val="Times New Roman"/>
      <family val="1"/>
    </font>
    <font>
      <sz val="12"/>
      <color rgb="FF92D050"/>
      <name val="Times New Roman"/>
      <family val="1"/>
    </font>
    <font>
      <i/>
      <sz val="12"/>
      <color rgb="FF92D050"/>
      <name val="Times New Roman"/>
      <family val="1"/>
    </font>
    <font>
      <b/>
      <sz val="12"/>
      <color rgb="FF92D050"/>
      <name val="Times New Roman"/>
      <family val="1"/>
    </font>
    <font>
      <b/>
      <u/>
      <sz val="12"/>
      <color theme="1"/>
      <name val="Times New Roman"/>
      <family val="1"/>
    </font>
    <font>
      <b/>
      <u/>
      <sz val="12"/>
      <color theme="0"/>
      <name val="Times New Roman"/>
      <family val="1"/>
    </font>
    <font>
      <b/>
      <sz val="12"/>
      <color theme="1"/>
      <name val="Times New Roman"/>
      <family val="1"/>
    </font>
    <font>
      <b/>
      <i/>
      <u/>
      <sz val="12"/>
      <color theme="1"/>
      <name val="Times New Roman"/>
      <family val="1"/>
    </font>
    <font>
      <b/>
      <i/>
      <u/>
      <sz val="12"/>
      <color theme="0"/>
      <name val="Times New Roman"/>
      <family val="1"/>
    </font>
    <font>
      <u/>
      <sz val="12"/>
      <color theme="1"/>
      <name val="Times New Roman"/>
      <family val="1"/>
    </font>
    <font>
      <sz val="12"/>
      <color rgb="FFFF0000"/>
      <name val="Times New Roman"/>
      <family val="1"/>
    </font>
    <font>
      <b/>
      <sz val="12"/>
      <color rgb="FFFF0000"/>
      <name val="Times New Roman"/>
      <family val="1"/>
    </font>
    <font>
      <sz val="12"/>
      <color theme="1"/>
      <name val="Times New Roman"/>
      <family val="1"/>
      <charset val="163"/>
    </font>
    <font>
      <sz val="9"/>
      <color indexed="81"/>
      <name val="Tahoma"/>
      <family val="2"/>
    </font>
    <font>
      <b/>
      <sz val="9"/>
      <color indexed="81"/>
      <name val="Tahoma"/>
      <family val="2"/>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s>
  <cellStyleXfs count="39">
    <xf numFmtId="0" fontId="0" fillId="0" borderId="0"/>
    <xf numFmtId="164" fontId="4" fillId="0" borderId="0" applyFont="0" applyFill="0" applyBorder="0" applyAlignment="0" applyProtection="0"/>
    <xf numFmtId="0" fontId="5" fillId="0" borderId="0"/>
    <xf numFmtId="0" fontId="4" fillId="0" borderId="0"/>
    <xf numFmtId="0" fontId="5" fillId="0" borderId="0"/>
    <xf numFmtId="0" fontId="2" fillId="0" borderId="0"/>
    <xf numFmtId="43" fontId="8" fillId="0" borderId="0" applyFont="0" applyFill="0" applyBorder="0" applyAlignment="0" applyProtection="0"/>
    <xf numFmtId="0" fontId="4" fillId="0" borderId="0"/>
    <xf numFmtId="0" fontId="4" fillId="0" borderId="0"/>
    <xf numFmtId="41" fontId="8" fillId="0" borderId="0" applyFont="0" applyFill="0" applyBorder="0" applyAlignment="0" applyProtection="0"/>
    <xf numFmtId="0" fontId="4" fillId="0" borderId="0"/>
    <xf numFmtId="43" fontId="8"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0" fontId="9"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0" fontId="22" fillId="0" borderId="0" applyNumberFormat="0" applyFill="0" applyBorder="0" applyAlignment="0" applyProtection="0"/>
    <xf numFmtId="0" fontId="5" fillId="0" borderId="0"/>
    <xf numFmtId="0" fontId="2" fillId="0" borderId="0"/>
    <xf numFmtId="0" fontId="5" fillId="0" borderId="0"/>
    <xf numFmtId="43" fontId="2" fillId="0" borderId="0" applyFont="0" applyFill="0" applyBorder="0" applyAlignment="0" applyProtection="0"/>
    <xf numFmtId="0" fontId="1" fillId="0" borderId="0"/>
    <xf numFmtId="0" fontId="4" fillId="0" borderId="0"/>
    <xf numFmtId="43" fontId="8" fillId="0" borderId="0" applyFont="0" applyFill="0" applyBorder="0" applyAlignment="0" applyProtection="0"/>
    <xf numFmtId="43" fontId="8" fillId="0" borderId="0" applyFont="0" applyFill="0" applyBorder="0" applyAlignment="0" applyProtection="0"/>
    <xf numFmtId="43" fontId="2" fillId="0" borderId="0" applyFont="0" applyFill="0" applyBorder="0" applyAlignment="0" applyProtection="0"/>
    <xf numFmtId="164" fontId="4" fillId="0" borderId="0" applyFont="0" applyFill="0" applyBorder="0" applyAlignment="0" applyProtection="0"/>
    <xf numFmtId="41" fontId="8" fillId="0" borderId="0" applyFont="0" applyFill="0" applyBorder="0" applyAlignment="0" applyProtection="0"/>
    <xf numFmtId="43" fontId="8" fillId="0" borderId="0" applyFont="0" applyFill="0" applyBorder="0" applyAlignment="0" applyProtection="0"/>
    <xf numFmtId="0" fontId="4" fillId="0" borderId="0"/>
    <xf numFmtId="0" fontId="4" fillId="0" borderId="0"/>
    <xf numFmtId="0" fontId="39" fillId="0" borderId="0"/>
    <xf numFmtId="43" fontId="4" fillId="0" borderId="0" applyFont="0" applyFill="0" applyBorder="0" applyAlignment="0" applyProtection="0"/>
    <xf numFmtId="0" fontId="39" fillId="0" borderId="0"/>
    <xf numFmtId="0" fontId="57" fillId="0" borderId="0" applyNumberFormat="0" applyFill="0" applyBorder="0" applyAlignment="0" applyProtection="0"/>
  </cellStyleXfs>
  <cellXfs count="503">
    <xf numFmtId="0" fontId="0" fillId="0" borderId="0" xfId="0"/>
    <xf numFmtId="0" fontId="4" fillId="0" borderId="0" xfId="3" applyAlignment="1">
      <alignment vertical="center"/>
    </xf>
    <xf numFmtId="0" fontId="3" fillId="0" borderId="0" xfId="0" applyFont="1" applyAlignment="1">
      <alignment vertical="center"/>
    </xf>
    <xf numFmtId="0" fontId="6" fillId="0" borderId="0" xfId="0" applyFont="1" applyAlignment="1">
      <alignment vertical="center" wrapText="1"/>
    </xf>
    <xf numFmtId="3" fontId="12" fillId="0" borderId="11" xfId="0" applyNumberFormat="1" applyFont="1" applyBorder="1" applyAlignment="1">
      <alignment horizontal="right" vertical="top" wrapText="1"/>
    </xf>
    <xf numFmtId="0" fontId="14" fillId="0" borderId="11" xfId="0" applyFont="1" applyBorder="1" applyAlignment="1">
      <alignment horizontal="center" vertical="center" wrapText="1"/>
    </xf>
    <xf numFmtId="9" fontId="14" fillId="0" borderId="11" xfId="12" applyFont="1" applyFill="1" applyBorder="1" applyAlignment="1">
      <alignment horizontal="right" vertical="center" wrapText="1"/>
    </xf>
    <xf numFmtId="3" fontId="14" fillId="0" borderId="11" xfId="0" applyNumberFormat="1" applyFont="1" applyBorder="1" applyAlignment="1">
      <alignment horizontal="right" vertical="top" wrapText="1"/>
    </xf>
    <xf numFmtId="3" fontId="10" fillId="0" borderId="11" xfId="0" applyNumberFormat="1" applyFont="1" applyBorder="1" applyAlignment="1">
      <alignment horizontal="right" vertical="top" wrapText="1"/>
    </xf>
    <xf numFmtId="0" fontId="16" fillId="0" borderId="0" xfId="0" applyFont="1"/>
    <xf numFmtId="0" fontId="18" fillId="0" borderId="0" xfId="0" applyFont="1" applyAlignment="1">
      <alignment vertical="center"/>
    </xf>
    <xf numFmtId="0" fontId="19" fillId="0" borderId="0" xfId="0" applyFont="1"/>
    <xf numFmtId="0" fontId="4" fillId="0" borderId="0" xfId="0" applyFont="1"/>
    <xf numFmtId="0" fontId="17" fillId="0" borderId="0" xfId="0" applyFont="1"/>
    <xf numFmtId="0" fontId="20" fillId="0" borderId="0" xfId="0" applyFont="1" applyAlignment="1">
      <alignment vertical="center"/>
    </xf>
    <xf numFmtId="0" fontId="7" fillId="0" borderId="0" xfId="3" applyFont="1" applyAlignment="1">
      <alignment horizontal="center" vertical="center" wrapText="1"/>
    </xf>
    <xf numFmtId="0" fontId="21" fillId="0" borderId="0" xfId="0" applyFont="1"/>
    <xf numFmtId="0" fontId="4" fillId="0" borderId="0" xfId="0" applyFont="1" applyAlignment="1">
      <alignment horizontal="left" vertical="top" wrapText="1"/>
    </xf>
    <xf numFmtId="0" fontId="20" fillId="0" borderId="0" xfId="0" applyFont="1"/>
    <xf numFmtId="0" fontId="15" fillId="0" borderId="12" xfId="0" applyFont="1" applyBorder="1" applyAlignment="1">
      <alignment horizontal="center" vertical="center" wrapText="1"/>
    </xf>
    <xf numFmtId="3" fontId="15" fillId="0" borderId="12" xfId="0" applyNumberFormat="1" applyFont="1" applyBorder="1" applyAlignment="1">
      <alignment horizontal="right" vertical="center" wrapText="1"/>
    </xf>
    <xf numFmtId="0" fontId="12" fillId="0" borderId="1" xfId="0" applyFont="1" applyBorder="1" applyAlignment="1">
      <alignment horizontal="center" vertical="center" wrapText="1"/>
    </xf>
    <xf numFmtId="0" fontId="14" fillId="0" borderId="4" xfId="0" quotePrefix="1" applyFont="1" applyBorder="1" applyAlignment="1">
      <alignment horizontal="center" vertical="center" wrapText="1"/>
    </xf>
    <xf numFmtId="0" fontId="23" fillId="0" borderId="12" xfId="0" applyFont="1" applyBorder="1" applyAlignment="1">
      <alignment vertical="center"/>
    </xf>
    <xf numFmtId="0" fontId="13" fillId="0" borderId="11" xfId="0" applyFont="1" applyBorder="1" applyAlignment="1">
      <alignment horizontal="center" vertical="center" wrapText="1"/>
    </xf>
    <xf numFmtId="0" fontId="13" fillId="0" borderId="11" xfId="0" applyFont="1" applyBorder="1" applyAlignment="1">
      <alignment vertical="center" wrapText="1"/>
    </xf>
    <xf numFmtId="3" fontId="13" fillId="0" borderId="11" xfId="0" applyNumberFormat="1" applyFont="1" applyBorder="1" applyAlignment="1">
      <alignment horizontal="right" vertical="center" wrapText="1"/>
    </xf>
    <xf numFmtId="0" fontId="24" fillId="0" borderId="11" xfId="0" applyFont="1" applyBorder="1" applyAlignment="1">
      <alignment vertical="center"/>
    </xf>
    <xf numFmtId="0" fontId="12" fillId="0" borderId="11" xfId="0" applyFont="1" applyBorder="1" applyAlignment="1">
      <alignment horizontal="right" vertical="top" wrapText="1"/>
    </xf>
    <xf numFmtId="0" fontId="12" fillId="0" borderId="11" xfId="0" applyFont="1" applyBorder="1" applyAlignment="1">
      <alignment vertical="top" wrapText="1"/>
    </xf>
    <xf numFmtId="0" fontId="25" fillId="0" borderId="11" xfId="0" applyFont="1" applyBorder="1"/>
    <xf numFmtId="0" fontId="10" fillId="0" borderId="11" xfId="0" applyFont="1" applyBorder="1" applyAlignment="1">
      <alignment horizontal="right" vertical="top" wrapText="1"/>
    </xf>
    <xf numFmtId="0" fontId="10" fillId="0" borderId="11" xfId="0" applyFont="1" applyBorder="1" applyAlignment="1">
      <alignment vertical="top" wrapText="1"/>
    </xf>
    <xf numFmtId="3" fontId="25" fillId="0" borderId="11" xfId="0" applyNumberFormat="1" applyFont="1" applyBorder="1"/>
    <xf numFmtId="0" fontId="25" fillId="0" borderId="11" xfId="0" applyFont="1" applyBorder="1" applyAlignment="1">
      <alignment horizontal="right" vertical="top" wrapText="1"/>
    </xf>
    <xf numFmtId="0" fontId="14" fillId="0" borderId="11" xfId="0" applyFont="1" applyBorder="1" applyAlignment="1">
      <alignment vertical="top" wrapText="1"/>
    </xf>
    <xf numFmtId="3" fontId="10" fillId="0" borderId="11" xfId="1" applyNumberFormat="1" applyFont="1" applyFill="1" applyBorder="1" applyAlignment="1">
      <alignment horizontal="right" vertical="center" wrapText="1"/>
    </xf>
    <xf numFmtId="0" fontId="14" fillId="0" borderId="11" xfId="0" applyFont="1" applyBorder="1" applyAlignment="1">
      <alignment horizontal="right" vertical="top" wrapText="1"/>
    </xf>
    <xf numFmtId="0" fontId="24" fillId="0" borderId="11" xfId="0" applyFont="1" applyBorder="1"/>
    <xf numFmtId="0" fontId="10" fillId="0" borderId="11" xfId="0" quotePrefix="1" applyFont="1" applyBorder="1" applyAlignment="1">
      <alignment vertical="top" wrapText="1"/>
    </xf>
    <xf numFmtId="0" fontId="10" fillId="0" borderId="11" xfId="0" applyFont="1" applyBorder="1" applyAlignment="1">
      <alignment vertical="center" wrapText="1"/>
    </xf>
    <xf numFmtId="0" fontId="14" fillId="0" borderId="11" xfId="0" quotePrefix="1" applyFont="1" applyBorder="1" applyAlignment="1">
      <alignment vertical="top" wrapText="1"/>
    </xf>
    <xf numFmtId="0" fontId="12" fillId="0" borderId="13" xfId="0" applyFont="1" applyBorder="1" applyAlignment="1">
      <alignment horizontal="right" vertical="top" wrapText="1"/>
    </xf>
    <xf numFmtId="0" fontId="12" fillId="0" borderId="13" xfId="0" applyFont="1" applyBorder="1" applyAlignment="1">
      <alignment vertical="top" wrapText="1"/>
    </xf>
    <xf numFmtId="3" fontId="12" fillId="0" borderId="13" xfId="0" applyNumberFormat="1" applyFont="1" applyBorder="1" applyAlignment="1">
      <alignment horizontal="right" vertical="top" wrapText="1"/>
    </xf>
    <xf numFmtId="0" fontId="25" fillId="0" borderId="13" xfId="0" applyFont="1" applyBorder="1"/>
    <xf numFmtId="3" fontId="4" fillId="0" borderId="0" xfId="0" applyNumberFormat="1" applyFont="1" applyAlignment="1">
      <alignment vertical="center"/>
    </xf>
    <xf numFmtId="3" fontId="4" fillId="0" borderId="11" xfId="0" applyNumberFormat="1" applyFont="1" applyBorder="1" applyAlignment="1">
      <alignment horizontal="center" vertical="center"/>
    </xf>
    <xf numFmtId="3" fontId="4" fillId="0" borderId="11" xfId="0" quotePrefix="1" applyNumberFormat="1" applyFont="1" applyBorder="1" applyAlignment="1">
      <alignment horizontal="left" vertical="center" wrapText="1"/>
    </xf>
    <xf numFmtId="3" fontId="4" fillId="0" borderId="11" xfId="0" applyNumberFormat="1" applyFont="1" applyBorder="1" applyAlignment="1">
      <alignment horizontal="center" vertical="center" wrapText="1"/>
    </xf>
    <xf numFmtId="3" fontId="4" fillId="0" borderId="11" xfId="0" quotePrefix="1" applyNumberFormat="1" applyFont="1" applyBorder="1" applyAlignment="1">
      <alignment horizontal="center" vertical="center"/>
    </xf>
    <xf numFmtId="3" fontId="4" fillId="0" borderId="11" xfId="0" applyNumberFormat="1" applyFont="1" applyBorder="1" applyAlignment="1">
      <alignment vertical="center"/>
    </xf>
    <xf numFmtId="3" fontId="4" fillId="0" borderId="11" xfId="0" applyNumberFormat="1" applyFont="1" applyBorder="1" applyAlignment="1">
      <alignment horizontal="left" vertical="center" wrapText="1"/>
    </xf>
    <xf numFmtId="3" fontId="29" fillId="0" borderId="11" xfId="0" applyNumberFormat="1" applyFont="1" applyBorder="1" applyAlignment="1">
      <alignment horizontal="left" vertical="center" wrapText="1"/>
    </xf>
    <xf numFmtId="168" fontId="4" fillId="0" borderId="11" xfId="0" quotePrefix="1" applyNumberFormat="1" applyFont="1" applyBorder="1" applyAlignment="1">
      <alignment horizontal="center" vertical="center" wrapText="1"/>
    </xf>
    <xf numFmtId="0" fontId="4" fillId="0" borderId="11" xfId="0" applyFont="1" applyBorder="1" applyAlignment="1">
      <alignment horizontal="center" vertical="center" wrapText="1"/>
    </xf>
    <xf numFmtId="168" fontId="4" fillId="0" borderId="11" xfId="0" applyNumberFormat="1" applyFont="1" applyBorder="1" applyAlignment="1">
      <alignment vertical="center"/>
    </xf>
    <xf numFmtId="1" fontId="4" fillId="0" borderId="11" xfId="21" quotePrefix="1" applyNumberFormat="1" applyFont="1" applyBorder="1" applyAlignment="1">
      <alignment horizontal="left" vertical="center" wrapText="1"/>
    </xf>
    <xf numFmtId="3" fontId="4" fillId="0" borderId="11" xfId="20" applyNumberFormat="1" applyFont="1" applyFill="1" applyBorder="1" applyAlignment="1" applyProtection="1">
      <alignment vertical="center"/>
    </xf>
    <xf numFmtId="3" fontId="29" fillId="0" borderId="0" xfId="0" applyNumberFormat="1" applyFont="1" applyAlignment="1">
      <alignment horizontal="center" vertical="center"/>
    </xf>
    <xf numFmtId="3" fontId="30" fillId="0" borderId="0" xfId="0" applyNumberFormat="1" applyFont="1" applyAlignment="1">
      <alignment horizontal="left" vertical="center"/>
    </xf>
    <xf numFmtId="3" fontId="29" fillId="0" borderId="0" xfId="0" applyNumberFormat="1" applyFont="1" applyAlignment="1">
      <alignment horizontal="center" vertical="center" wrapText="1"/>
    </xf>
    <xf numFmtId="3" fontId="30" fillId="0" borderId="0" xfId="0" applyNumberFormat="1" applyFont="1" applyAlignment="1">
      <alignment horizontal="center" vertical="center" wrapText="1"/>
    </xf>
    <xf numFmtId="3" fontId="30" fillId="0" borderId="0" xfId="0" applyNumberFormat="1" applyFont="1" applyAlignment="1">
      <alignment horizontal="center" vertical="center"/>
    </xf>
    <xf numFmtId="3" fontId="29" fillId="0" borderId="0" xfId="0" applyNumberFormat="1" applyFont="1" applyAlignment="1">
      <alignment vertical="center"/>
    </xf>
    <xf numFmtId="3" fontId="29" fillId="0" borderId="0" xfId="0" applyNumberFormat="1" applyFont="1" applyAlignment="1">
      <alignment horizontal="right" vertical="center"/>
    </xf>
    <xf numFmtId="3" fontId="4" fillId="0" borderId="0" xfId="0" applyNumberFormat="1" applyFont="1" applyAlignment="1">
      <alignment horizontal="right" vertical="center" wrapText="1"/>
    </xf>
    <xf numFmtId="3" fontId="4" fillId="0" borderId="0" xfId="0" applyNumberFormat="1" applyFont="1" applyAlignment="1">
      <alignment vertical="center" wrapText="1"/>
    </xf>
    <xf numFmtId="3" fontId="4" fillId="0" borderId="1" xfId="0" quotePrefix="1"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1" xfId="0" applyNumberFormat="1" applyFont="1" applyBorder="1" applyAlignment="1">
      <alignment horizontal="center" vertical="center"/>
    </xf>
    <xf numFmtId="3" fontId="4" fillId="0" borderId="0" xfId="0" applyNumberFormat="1" applyFont="1" applyAlignment="1">
      <alignment horizontal="center" vertical="center"/>
    </xf>
    <xf numFmtId="3" fontId="17" fillId="0" borderId="12" xfId="0" applyNumberFormat="1" applyFont="1" applyBorder="1" applyAlignment="1">
      <alignment horizontal="center" vertical="center"/>
    </xf>
    <xf numFmtId="3" fontId="15" fillId="0" borderId="0" xfId="0" applyNumberFormat="1" applyFont="1" applyAlignment="1">
      <alignment vertical="center"/>
    </xf>
    <xf numFmtId="3" fontId="29" fillId="0" borderId="11" xfId="0" applyNumberFormat="1" applyFont="1" applyBorder="1" applyAlignment="1">
      <alignment horizontal="center" vertical="center"/>
    </xf>
    <xf numFmtId="3" fontId="29" fillId="0" borderId="11" xfId="0" applyNumberFormat="1" applyFont="1" applyBorder="1" applyAlignment="1">
      <alignment horizontal="center" vertical="center" wrapText="1"/>
    </xf>
    <xf numFmtId="3" fontId="29" fillId="0" borderId="11" xfId="0" applyNumberFormat="1" applyFont="1" applyBorder="1" applyAlignment="1">
      <alignment horizontal="right" vertical="center"/>
    </xf>
    <xf numFmtId="3" fontId="29" fillId="0" borderId="11" xfId="0" applyNumberFormat="1" applyFont="1" applyBorder="1" applyAlignment="1">
      <alignment vertical="center"/>
    </xf>
    <xf numFmtId="3" fontId="30" fillId="0" borderId="11" xfId="0" applyNumberFormat="1" applyFont="1" applyBorder="1" applyAlignment="1">
      <alignment horizontal="center" vertical="center"/>
    </xf>
    <xf numFmtId="3" fontId="30" fillId="0" borderId="11" xfId="0" applyNumberFormat="1" applyFont="1" applyBorder="1" applyAlignment="1">
      <alignment horizontal="left" vertical="center" wrapText="1"/>
    </xf>
    <xf numFmtId="3" fontId="30" fillId="0" borderId="11" xfId="0" applyNumberFormat="1" applyFont="1" applyBorder="1" applyAlignment="1">
      <alignment horizontal="center" vertical="center" wrapText="1"/>
    </xf>
    <xf numFmtId="10" fontId="30" fillId="0" borderId="11" xfId="0" applyNumberFormat="1" applyFont="1" applyBorder="1" applyAlignment="1">
      <alignment horizontal="center" vertical="center" wrapText="1"/>
    </xf>
    <xf numFmtId="3" fontId="30" fillId="0" borderId="11" xfId="0" applyNumberFormat="1" applyFont="1" applyBorder="1" applyAlignment="1">
      <alignment vertical="center"/>
    </xf>
    <xf numFmtId="3" fontId="30" fillId="0" borderId="0" xfId="0" applyNumberFormat="1" applyFont="1" applyAlignment="1">
      <alignment vertical="center"/>
    </xf>
    <xf numFmtId="10" fontId="4" fillId="0" borderId="11" xfId="0" applyNumberFormat="1" applyFont="1" applyBorder="1" applyAlignment="1">
      <alignment horizontal="center" vertical="center" wrapText="1"/>
    </xf>
    <xf numFmtId="3" fontId="4" fillId="0" borderId="11" xfId="0" applyNumberFormat="1" applyFont="1" applyBorder="1" applyAlignment="1">
      <alignment horizontal="right" vertical="center"/>
    </xf>
    <xf numFmtId="3" fontId="11" fillId="0" borderId="11" xfId="0" applyNumberFormat="1" applyFont="1" applyBorder="1" applyAlignment="1">
      <alignment horizontal="center" vertical="center"/>
    </xf>
    <xf numFmtId="3" fontId="11" fillId="0" borderId="11" xfId="0" applyNumberFormat="1" applyFont="1" applyBorder="1" applyAlignment="1">
      <alignment horizontal="left" vertical="center" wrapText="1"/>
    </xf>
    <xf numFmtId="3" fontId="11" fillId="0" borderId="11" xfId="0" applyNumberFormat="1" applyFont="1" applyBorder="1" applyAlignment="1">
      <alignment horizontal="center" vertical="center" wrapText="1"/>
    </xf>
    <xf numFmtId="10" fontId="11" fillId="0" borderId="11" xfId="0" applyNumberFormat="1" applyFont="1" applyBorder="1" applyAlignment="1">
      <alignment horizontal="center" vertical="center" wrapText="1"/>
    </xf>
    <xf numFmtId="3" fontId="11" fillId="0" borderId="11" xfId="0" applyNumberFormat="1" applyFont="1" applyBorder="1" applyAlignment="1">
      <alignment horizontal="right" vertical="center"/>
    </xf>
    <xf numFmtId="3" fontId="11" fillId="0" borderId="11" xfId="0" applyNumberFormat="1" applyFont="1" applyBorder="1" applyAlignment="1">
      <alignment horizontal="right" vertical="center" wrapText="1"/>
    </xf>
    <xf numFmtId="3" fontId="4" fillId="0" borderId="11" xfId="0" applyNumberFormat="1" applyFont="1" applyBorder="1" applyAlignment="1">
      <alignment horizontal="right" vertical="center" wrapText="1"/>
    </xf>
    <xf numFmtId="3" fontId="30" fillId="0" borderId="11" xfId="0" applyNumberFormat="1" applyFont="1" applyBorder="1" applyAlignment="1">
      <alignment horizontal="left" vertical="center"/>
    </xf>
    <xf numFmtId="3" fontId="30" fillId="0" borderId="11" xfId="0" applyNumberFormat="1" applyFont="1" applyBorder="1" applyAlignment="1">
      <alignment horizontal="right" vertical="center"/>
    </xf>
    <xf numFmtId="3" fontId="11" fillId="0" borderId="11" xfId="0" quotePrefix="1" applyNumberFormat="1" applyFont="1" applyBorder="1" applyAlignment="1">
      <alignment horizontal="left" vertical="center" wrapText="1"/>
    </xf>
    <xf numFmtId="3" fontId="11" fillId="0" borderId="11" xfId="0" applyNumberFormat="1" applyFont="1" applyBorder="1" applyAlignment="1">
      <alignment vertical="center"/>
    </xf>
    <xf numFmtId="3" fontId="11" fillId="0" borderId="0" xfId="0" applyNumberFormat="1" applyFont="1" applyAlignment="1">
      <alignment vertical="center"/>
    </xf>
    <xf numFmtId="3" fontId="30" fillId="0" borderId="11" xfId="0" quotePrefix="1" applyNumberFormat="1" applyFont="1" applyBorder="1" applyAlignment="1">
      <alignment horizontal="left" vertical="center" wrapText="1"/>
    </xf>
    <xf numFmtId="3" fontId="4" fillId="0" borderId="11" xfId="0" quotePrefix="1" applyNumberFormat="1" applyFont="1" applyBorder="1" applyAlignment="1">
      <alignment horizontal="right" vertical="center" wrapText="1"/>
    </xf>
    <xf numFmtId="0" fontId="29" fillId="0" borderId="11" xfId="0" applyFont="1" applyBorder="1" applyAlignment="1">
      <alignment horizontal="left" vertical="center"/>
    </xf>
    <xf numFmtId="3" fontId="29" fillId="0" borderId="11" xfId="0" quotePrefix="1" applyNumberFormat="1" applyFont="1" applyBorder="1" applyAlignment="1">
      <alignment horizontal="left" vertical="center" wrapText="1"/>
    </xf>
    <xf numFmtId="3" fontId="29" fillId="0" borderId="11" xfId="0" quotePrefix="1" applyNumberFormat="1" applyFont="1" applyBorder="1" applyAlignment="1">
      <alignment horizontal="center" vertical="center"/>
    </xf>
    <xf numFmtId="0" fontId="29" fillId="0" borderId="11" xfId="0" quotePrefix="1" applyFont="1" applyBorder="1" applyAlignment="1">
      <alignment horizontal="left" vertical="center" wrapText="1"/>
    </xf>
    <xf numFmtId="0" fontId="4" fillId="0" borderId="11" xfId="0" applyFont="1" applyBorder="1" applyAlignment="1">
      <alignment vertical="center" wrapText="1"/>
    </xf>
    <xf numFmtId="3" fontId="31" fillId="0" borderId="11" xfId="20" applyNumberFormat="1" applyFont="1" applyFill="1" applyBorder="1" applyAlignment="1" applyProtection="1">
      <alignment horizontal="center" vertical="center" wrapText="1"/>
    </xf>
    <xf numFmtId="0" fontId="30" fillId="0" borderId="11" xfId="0" quotePrefix="1" applyFont="1" applyBorder="1" applyAlignment="1">
      <alignment horizontal="left" vertical="center" wrapText="1"/>
    </xf>
    <xf numFmtId="168" fontId="4" fillId="0" borderId="11" xfId="0" quotePrefix="1" applyNumberFormat="1" applyFont="1" applyBorder="1" applyAlignment="1">
      <alignment horizontal="left" vertical="center" wrapText="1"/>
    </xf>
    <xf numFmtId="168" fontId="4" fillId="0" borderId="11" xfId="0" applyNumberFormat="1" applyFont="1" applyBorder="1" applyAlignment="1">
      <alignment horizontal="center" vertical="center" wrapText="1"/>
    </xf>
    <xf numFmtId="1" fontId="4" fillId="0" borderId="11" xfId="2" quotePrefix="1" applyNumberFormat="1" applyFont="1" applyBorder="1" applyAlignment="1">
      <alignment horizontal="justify" vertical="center" wrapText="1"/>
    </xf>
    <xf numFmtId="3" fontId="32" fillId="0" borderId="11" xfId="20" applyNumberFormat="1" applyFont="1" applyFill="1" applyBorder="1" applyAlignment="1" applyProtection="1">
      <alignment horizontal="center" vertical="center" wrapText="1"/>
    </xf>
    <xf numFmtId="0" fontId="4" fillId="0" borderId="11" xfId="0" applyFont="1" applyBorder="1" applyAlignment="1">
      <alignment horizontal="left" vertical="center" wrapText="1"/>
    </xf>
    <xf numFmtId="0" fontId="4" fillId="0" borderId="11" xfId="0" quotePrefix="1" applyFont="1" applyBorder="1" applyAlignment="1">
      <alignment horizontal="center" vertical="center" wrapText="1"/>
    </xf>
    <xf numFmtId="3" fontId="4" fillId="0" borderId="11" xfId="2" applyNumberFormat="1" applyFont="1" applyBorder="1" applyAlignment="1">
      <alignment horizontal="right" vertical="center"/>
    </xf>
    <xf numFmtId="3" fontId="4" fillId="0" borderId="11" xfId="28" applyNumberFormat="1" applyFont="1" applyFill="1" applyBorder="1" applyAlignment="1">
      <alignment horizontal="right" vertical="center"/>
    </xf>
    <xf numFmtId="3" fontId="4" fillId="0" borderId="11" xfId="28" applyNumberFormat="1" applyFont="1" applyFill="1" applyBorder="1" applyAlignment="1">
      <alignment horizontal="right" vertical="center" wrapText="1"/>
    </xf>
    <xf numFmtId="3" fontId="31" fillId="0" borderId="11" xfId="20" applyNumberFormat="1" applyFont="1" applyFill="1" applyBorder="1" applyAlignment="1" applyProtection="1">
      <alignment vertical="center" wrapText="1"/>
    </xf>
    <xf numFmtId="3" fontId="17" fillId="0" borderId="11" xfId="20" applyNumberFormat="1" applyFont="1" applyFill="1" applyBorder="1" applyAlignment="1" applyProtection="1">
      <alignment horizontal="center" vertical="center" wrapText="1"/>
    </xf>
    <xf numFmtId="3" fontId="4" fillId="0" borderId="13" xfId="0" applyNumberFormat="1" applyFont="1" applyBorder="1" applyAlignment="1">
      <alignment horizontal="center" vertical="center"/>
    </xf>
    <xf numFmtId="3" fontId="4" fillId="0" borderId="13" xfId="0" applyNumberFormat="1" applyFont="1" applyBorder="1" applyAlignment="1">
      <alignment horizontal="left" vertical="center" wrapText="1"/>
    </xf>
    <xf numFmtId="3" fontId="4" fillId="0" borderId="13" xfId="0" applyNumberFormat="1" applyFont="1" applyBorder="1" applyAlignment="1">
      <alignment horizontal="center" vertical="center" wrapText="1"/>
    </xf>
    <xf numFmtId="3" fontId="31" fillId="0" borderId="13" xfId="20" applyNumberFormat="1" applyFont="1" applyFill="1" applyBorder="1" applyAlignment="1" applyProtection="1">
      <alignment horizontal="center" vertical="center" wrapText="1"/>
    </xf>
    <xf numFmtId="3" fontId="4" fillId="0" borderId="13" xfId="0" applyNumberFormat="1" applyFont="1" applyBorder="1" applyAlignment="1">
      <alignment vertical="center"/>
    </xf>
    <xf numFmtId="3" fontId="4" fillId="0" borderId="13" xfId="0" applyNumberFormat="1" applyFont="1" applyBorder="1" applyAlignment="1">
      <alignment horizontal="right" vertical="center"/>
    </xf>
    <xf numFmtId="3" fontId="29" fillId="0" borderId="13" xfId="0" applyNumberFormat="1" applyFont="1" applyBorder="1" applyAlignment="1">
      <alignment vertical="center"/>
    </xf>
    <xf numFmtId="3" fontId="4" fillId="0" borderId="0" xfId="0" applyNumberFormat="1" applyFont="1" applyAlignment="1">
      <alignment horizontal="left" vertical="center"/>
    </xf>
    <xf numFmtId="3" fontId="4" fillId="0" borderId="0" xfId="0" applyNumberFormat="1" applyFont="1" applyAlignment="1">
      <alignment horizontal="center" vertical="center" wrapText="1"/>
    </xf>
    <xf numFmtId="3" fontId="4" fillId="0" borderId="0" xfId="0" applyNumberFormat="1" applyFont="1" applyAlignment="1">
      <alignment horizontal="right" vertical="center"/>
    </xf>
    <xf numFmtId="3" fontId="15" fillId="0" borderId="12" xfId="0" applyNumberFormat="1" applyFont="1" applyBorder="1" applyAlignment="1">
      <alignment vertical="center"/>
    </xf>
    <xf numFmtId="3" fontId="17" fillId="0" borderId="12" xfId="0" quotePrefix="1" applyNumberFormat="1" applyFont="1" applyBorder="1" applyAlignment="1">
      <alignment horizontal="center" vertical="center" wrapText="1"/>
    </xf>
    <xf numFmtId="3" fontId="17" fillId="0" borderId="12" xfId="0" quotePrefix="1" applyNumberFormat="1" applyFont="1" applyBorder="1" applyAlignment="1">
      <alignment horizontal="right" vertical="center" wrapText="1"/>
    </xf>
    <xf numFmtId="3" fontId="17" fillId="0" borderId="12" xfId="0" applyNumberFormat="1" applyFont="1" applyBorder="1" applyAlignment="1">
      <alignment horizontal="center" vertical="center" wrapText="1"/>
    </xf>
    <xf numFmtId="3" fontId="17" fillId="0" borderId="11" xfId="0" applyNumberFormat="1" applyFont="1" applyBorder="1" applyAlignment="1">
      <alignment horizontal="center" vertical="center"/>
    </xf>
    <xf numFmtId="3" fontId="17" fillId="0" borderId="11" xfId="0" applyNumberFormat="1" applyFont="1" applyBorder="1" applyAlignment="1">
      <alignment horizontal="right" vertical="center"/>
    </xf>
    <xf numFmtId="3" fontId="29" fillId="0" borderId="11" xfId="0" quotePrefix="1" applyNumberFormat="1" applyFont="1" applyBorder="1" applyAlignment="1">
      <alignment horizontal="right" vertical="center" wrapText="1"/>
    </xf>
    <xf numFmtId="1" fontId="29" fillId="2" borderId="11" xfId="2" applyNumberFormat="1" applyFont="1" applyFill="1" applyBorder="1" applyAlignment="1">
      <alignment horizontal="center" vertical="top"/>
    </xf>
    <xf numFmtId="0" fontId="29" fillId="2" borderId="11" xfId="0" quotePrefix="1" applyFont="1" applyFill="1" applyBorder="1" applyAlignment="1">
      <alignment horizontal="justify" vertical="top" wrapText="1"/>
    </xf>
    <xf numFmtId="0" fontId="4" fillId="2" borderId="11" xfId="0" applyFont="1" applyFill="1" applyBorder="1" applyAlignment="1">
      <alignment horizontal="center" vertical="top" wrapText="1"/>
    </xf>
    <xf numFmtId="1" fontId="30" fillId="2" borderId="11" xfId="2" applyNumberFormat="1" applyFont="1" applyFill="1" applyBorder="1" applyAlignment="1">
      <alignment horizontal="center" vertical="top"/>
    </xf>
    <xf numFmtId="1" fontId="30" fillId="2" borderId="11" xfId="2" quotePrefix="1" applyNumberFormat="1" applyFont="1" applyFill="1" applyBorder="1" applyAlignment="1">
      <alignment horizontal="justify" vertical="top" wrapText="1"/>
    </xf>
    <xf numFmtId="1" fontId="4" fillId="2" borderId="11" xfId="2" applyNumberFormat="1" applyFont="1" applyFill="1" applyBorder="1" applyAlignment="1">
      <alignment horizontal="right" vertical="top"/>
    </xf>
    <xf numFmtId="0" fontId="4" fillId="2" borderId="11" xfId="0" applyFont="1" applyFill="1" applyBorder="1" applyAlignment="1">
      <alignment vertical="top" wrapText="1"/>
    </xf>
    <xf numFmtId="0" fontId="4" fillId="2" borderId="11" xfId="0" applyFont="1" applyFill="1" applyBorder="1" applyAlignment="1">
      <alignment horizontal="center" vertical="top"/>
    </xf>
    <xf numFmtId="0" fontId="4" fillId="2" borderId="11" xfId="0" quotePrefix="1" applyFont="1" applyFill="1" applyBorder="1" applyAlignment="1">
      <alignment horizontal="justify" vertical="top" wrapText="1"/>
    </xf>
    <xf numFmtId="0" fontId="30" fillId="2" borderId="11" xfId="0" applyFont="1" applyFill="1" applyBorder="1" applyAlignment="1">
      <alignment horizontal="center" vertical="top" wrapText="1"/>
    </xf>
    <xf numFmtId="0" fontId="4" fillId="2" borderId="11" xfId="0" quotePrefix="1" applyFont="1" applyFill="1" applyBorder="1" applyAlignment="1">
      <alignment horizontal="center" vertical="top" wrapText="1"/>
    </xf>
    <xf numFmtId="3" fontId="4" fillId="2" borderId="11" xfId="2" quotePrefix="1" applyNumberFormat="1" applyFont="1" applyFill="1" applyBorder="1" applyAlignment="1">
      <alignment horizontal="center" vertical="top" wrapText="1"/>
    </xf>
    <xf numFmtId="165" fontId="4" fillId="2" borderId="11" xfId="27" quotePrefix="1" applyNumberFormat="1" applyFont="1" applyFill="1" applyBorder="1" applyAlignment="1">
      <alignment horizontal="center" vertical="top" wrapText="1"/>
    </xf>
    <xf numFmtId="1" fontId="4" fillId="2" borderId="11" xfId="2" applyNumberFormat="1" applyFont="1" applyFill="1" applyBorder="1" applyAlignment="1">
      <alignment horizontal="center" vertical="top" wrapText="1"/>
    </xf>
    <xf numFmtId="0" fontId="4" fillId="2" borderId="11" xfId="0" applyFont="1" applyFill="1" applyBorder="1" applyAlignment="1">
      <alignment horizontal="left" vertical="top" wrapText="1"/>
    </xf>
    <xf numFmtId="3" fontId="4" fillId="2" borderId="11" xfId="0" applyNumberFormat="1" applyFont="1" applyFill="1" applyBorder="1" applyAlignment="1">
      <alignment horizontal="center" vertical="top" wrapText="1"/>
    </xf>
    <xf numFmtId="1" fontId="29" fillId="2" borderId="11" xfId="2" quotePrefix="1" applyNumberFormat="1" applyFont="1" applyFill="1" applyBorder="1" applyAlignment="1">
      <alignment horizontal="justify" vertical="top" wrapText="1"/>
    </xf>
    <xf numFmtId="165" fontId="29" fillId="2" borderId="11" xfId="0" applyNumberFormat="1" applyFont="1" applyFill="1" applyBorder="1" applyAlignment="1">
      <alignment horizontal="center" vertical="top" wrapText="1"/>
    </xf>
    <xf numFmtId="0" fontId="30" fillId="2" borderId="11" xfId="0" applyFont="1" applyFill="1" applyBorder="1" applyAlignment="1">
      <alignment vertical="top" wrapText="1"/>
    </xf>
    <xf numFmtId="0" fontId="29" fillId="2" borderId="11" xfId="0" applyFont="1" applyFill="1" applyBorder="1" applyAlignment="1">
      <alignment horizontal="center" vertical="top" wrapText="1"/>
    </xf>
    <xf numFmtId="1" fontId="4" fillId="2" borderId="11" xfId="0" applyNumberFormat="1" applyFont="1" applyFill="1" applyBorder="1" applyAlignment="1">
      <alignment horizontal="center" vertical="top" wrapText="1"/>
    </xf>
    <xf numFmtId="0" fontId="4" fillId="2" borderId="11" xfId="0" applyFont="1" applyFill="1" applyBorder="1" applyAlignment="1">
      <alignment horizontal="left" vertical="top" wrapText="1" shrinkToFit="1"/>
    </xf>
    <xf numFmtId="165" fontId="4" fillId="2" borderId="11" xfId="28" applyNumberFormat="1" applyFont="1" applyFill="1" applyBorder="1" applyAlignment="1">
      <alignment horizontal="center" vertical="top" wrapText="1"/>
    </xf>
    <xf numFmtId="0" fontId="4" fillId="2" borderId="11" xfId="31" applyNumberFormat="1" applyFont="1" applyFill="1" applyBorder="1" applyAlignment="1">
      <alignment horizontal="center" vertical="top" wrapText="1"/>
    </xf>
    <xf numFmtId="165" fontId="4" fillId="2" borderId="11" xfId="29" quotePrefix="1" applyNumberFormat="1" applyFont="1" applyFill="1" applyBorder="1" applyAlignment="1">
      <alignment horizontal="center" vertical="top" wrapText="1"/>
    </xf>
    <xf numFmtId="165" fontId="4" fillId="2" borderId="11" xfId="32" applyNumberFormat="1" applyFont="1" applyFill="1" applyBorder="1" applyAlignment="1">
      <alignment horizontal="center" vertical="top" wrapText="1"/>
    </xf>
    <xf numFmtId="167" fontId="4" fillId="2" borderId="11" xfId="0" applyNumberFormat="1" applyFont="1" applyFill="1" applyBorder="1" applyAlignment="1">
      <alignment horizontal="center" vertical="top" wrapText="1"/>
    </xf>
    <xf numFmtId="1" fontId="4" fillId="2" borderId="11" xfId="0" applyNumberFormat="1" applyFont="1" applyFill="1" applyBorder="1" applyAlignment="1">
      <alignment horizontal="center" vertical="top" shrinkToFit="1"/>
    </xf>
    <xf numFmtId="3" fontId="4" fillId="0" borderId="11" xfId="20" applyNumberFormat="1" applyFont="1" applyFill="1" applyBorder="1" applyAlignment="1" applyProtection="1">
      <alignment horizontal="center" vertical="center" wrapText="1"/>
    </xf>
    <xf numFmtId="0" fontId="26" fillId="2" borderId="0" xfId="0" applyFont="1" applyFill="1" applyAlignment="1">
      <alignment horizontal="center" vertical="center" wrapText="1"/>
    </xf>
    <xf numFmtId="3" fontId="4" fillId="0" borderId="11" xfId="0" quotePrefix="1" applyNumberFormat="1" applyFont="1" applyBorder="1" applyAlignment="1">
      <alignment horizontal="center" vertical="center" wrapText="1"/>
    </xf>
    <xf numFmtId="3" fontId="29" fillId="2" borderId="11" xfId="0" applyNumberFormat="1" applyFont="1" applyFill="1" applyBorder="1" applyAlignment="1">
      <alignment horizontal="center" vertical="top" wrapText="1"/>
    </xf>
    <xf numFmtId="3" fontId="30" fillId="2" borderId="11" xfId="0" applyNumberFormat="1" applyFont="1" applyFill="1" applyBorder="1" applyAlignment="1">
      <alignment horizontal="center" vertical="top" wrapText="1"/>
    </xf>
    <xf numFmtId="3" fontId="11" fillId="2" borderId="11" xfId="0" applyNumberFormat="1" applyFont="1" applyFill="1" applyBorder="1" applyAlignment="1">
      <alignment horizontal="center" vertical="top" wrapText="1"/>
    </xf>
    <xf numFmtId="3" fontId="30" fillId="2" borderId="11" xfId="27" quotePrefix="1" applyNumberFormat="1" applyFont="1" applyFill="1" applyBorder="1" applyAlignment="1">
      <alignment horizontal="center" vertical="top" shrinkToFit="1"/>
    </xf>
    <xf numFmtId="0" fontId="39" fillId="0" borderId="0" xfId="35"/>
    <xf numFmtId="0" fontId="42" fillId="0" borderId="0" xfId="35" applyFont="1"/>
    <xf numFmtId="0" fontId="39" fillId="0" borderId="0" xfId="35" applyAlignment="1">
      <alignment vertical="center"/>
    </xf>
    <xf numFmtId="0" fontId="39" fillId="0" borderId="0" xfId="35" applyAlignment="1">
      <alignment horizontal="center"/>
    </xf>
    <xf numFmtId="0" fontId="34" fillId="0" borderId="0" xfId="35" applyFont="1" applyAlignment="1">
      <alignment horizontal="center"/>
    </xf>
    <xf numFmtId="0" fontId="11" fillId="0" borderId="0" xfId="35" applyFont="1" applyAlignment="1">
      <alignment horizontal="center"/>
    </xf>
    <xf numFmtId="0" fontId="42" fillId="0" borderId="0" xfId="35" applyFont="1" applyAlignment="1">
      <alignment horizontal="center"/>
    </xf>
    <xf numFmtId="0" fontId="43" fillId="0" borderId="0" xfId="35" applyFont="1" applyAlignment="1">
      <alignment horizontal="center"/>
    </xf>
    <xf numFmtId="0" fontId="4" fillId="0" borderId="0" xfId="35" applyFont="1"/>
    <xf numFmtId="0" fontId="38" fillId="0" borderId="0" xfId="35" applyFont="1"/>
    <xf numFmtId="0" fontId="34" fillId="0" borderId="0" xfId="35" applyFont="1"/>
    <xf numFmtId="3" fontId="34" fillId="0" borderId="0" xfId="35" applyNumberFormat="1" applyFont="1"/>
    <xf numFmtId="3" fontId="39" fillId="0" borderId="0" xfId="35" applyNumberFormat="1"/>
    <xf numFmtId="3" fontId="11" fillId="0" borderId="0" xfId="35" applyNumberFormat="1" applyFont="1"/>
    <xf numFmtId="3" fontId="42" fillId="0" borderId="0" xfId="35" applyNumberFormat="1" applyFont="1"/>
    <xf numFmtId="3" fontId="43" fillId="0" borderId="0" xfId="35" applyNumberFormat="1" applyFont="1"/>
    <xf numFmtId="0" fontId="42" fillId="0" borderId="1" xfId="35" applyFont="1" applyBorder="1" applyAlignment="1">
      <alignment horizontal="center" vertical="center"/>
    </xf>
    <xf numFmtId="0" fontId="43" fillId="0" borderId="1" xfId="35" applyFont="1" applyBorder="1" applyAlignment="1">
      <alignment horizontal="center" vertical="center"/>
    </xf>
    <xf numFmtId="0" fontId="42" fillId="0" borderId="1" xfId="35" applyFont="1" applyBorder="1" applyAlignment="1">
      <alignment horizontal="center" vertical="center" wrapText="1"/>
    </xf>
    <xf numFmtId="0" fontId="11" fillId="0" borderId="1" xfId="35" applyFont="1" applyBorder="1" applyAlignment="1">
      <alignment horizontal="center" vertical="center"/>
    </xf>
    <xf numFmtId="0" fontId="45" fillId="0" borderId="0" xfId="35" applyFont="1"/>
    <xf numFmtId="0" fontId="48" fillId="0" borderId="0" xfId="35" applyFont="1"/>
    <xf numFmtId="3" fontId="49" fillId="0" borderId="0" xfId="35" applyNumberFormat="1" applyFont="1" applyAlignment="1">
      <alignment vertical="center"/>
    </xf>
    <xf numFmtId="0" fontId="49" fillId="0" borderId="0" xfId="35" applyFont="1" applyAlignment="1">
      <alignment vertical="center"/>
    </xf>
    <xf numFmtId="0" fontId="49" fillId="0" borderId="0" xfId="35" applyFont="1" applyAlignment="1">
      <alignment vertical="top"/>
    </xf>
    <xf numFmtId="0" fontId="52" fillId="0" borderId="0" xfId="35" applyFont="1" applyAlignment="1">
      <alignment vertical="center"/>
    </xf>
    <xf numFmtId="0" fontId="54" fillId="0" borderId="0" xfId="35" applyFont="1" applyAlignment="1">
      <alignment vertical="top"/>
    </xf>
    <xf numFmtId="0" fontId="4" fillId="0" borderId="0" xfId="35" applyFont="1" applyAlignment="1">
      <alignment vertical="top"/>
    </xf>
    <xf numFmtId="0" fontId="30" fillId="0" borderId="0" xfId="35" applyFont="1" applyAlignment="1">
      <alignment vertical="top"/>
    </xf>
    <xf numFmtId="0" fontId="55" fillId="0" borderId="0" xfId="35" applyFont="1" applyAlignment="1">
      <alignment vertical="top"/>
    </xf>
    <xf numFmtId="0" fontId="51" fillId="0" borderId="0" xfId="35" applyFont="1" applyAlignment="1">
      <alignment vertical="top"/>
    </xf>
    <xf numFmtId="0" fontId="39" fillId="0" borderId="0" xfId="35" applyAlignment="1">
      <alignment vertical="top"/>
    </xf>
    <xf numFmtId="0" fontId="38" fillId="0" borderId="0" xfId="35" applyFont="1" applyAlignment="1">
      <alignment vertical="top"/>
    </xf>
    <xf numFmtId="0" fontId="4" fillId="0" borderId="0" xfId="35" applyFont="1" applyAlignment="1">
      <alignment vertical="center"/>
    </xf>
    <xf numFmtId="0" fontId="56" fillId="0" borderId="0" xfId="35" applyFont="1" applyAlignment="1">
      <alignment vertical="center"/>
    </xf>
    <xf numFmtId="0" fontId="11" fillId="0" borderId="0" xfId="35" applyFont="1" applyAlignment="1">
      <alignment vertical="top"/>
    </xf>
    <xf numFmtId="0" fontId="42" fillId="0" borderId="0" xfId="35" applyFont="1" applyAlignment="1">
      <alignment vertical="top"/>
    </xf>
    <xf numFmtId="3" fontId="29" fillId="2" borderId="11" xfId="0" applyNumberFormat="1" applyFont="1" applyFill="1" applyBorder="1" applyAlignment="1">
      <alignment horizontal="right" vertical="center" wrapText="1"/>
    </xf>
    <xf numFmtId="3" fontId="30" fillId="2" borderId="11" xfId="0" applyNumberFormat="1" applyFont="1" applyFill="1" applyBorder="1" applyAlignment="1">
      <alignment horizontal="right" vertical="center" wrapText="1"/>
    </xf>
    <xf numFmtId="165" fontId="4" fillId="2" borderId="11" xfId="24" applyNumberFormat="1" applyFont="1" applyFill="1" applyBorder="1" applyAlignment="1">
      <alignment horizontal="right" vertical="center" wrapText="1"/>
    </xf>
    <xf numFmtId="3" fontId="4" fillId="2" borderId="11" xfId="0" applyNumberFormat="1" applyFont="1" applyFill="1" applyBorder="1" applyAlignment="1">
      <alignment horizontal="right" vertical="center" wrapText="1"/>
    </xf>
    <xf numFmtId="3" fontId="4" fillId="2" borderId="11" xfId="0" applyNumberFormat="1" applyFont="1" applyFill="1" applyBorder="1" applyAlignment="1">
      <alignment horizontal="right" vertical="center"/>
    </xf>
    <xf numFmtId="3" fontId="4" fillId="2" borderId="11" xfId="27" quotePrefix="1" applyNumberFormat="1" applyFont="1" applyFill="1" applyBorder="1" applyAlignment="1">
      <alignment horizontal="right" vertical="center" shrinkToFit="1"/>
    </xf>
    <xf numFmtId="165" fontId="4" fillId="2" borderId="11" xfId="0" applyNumberFormat="1" applyFont="1" applyFill="1" applyBorder="1" applyAlignment="1">
      <alignment vertical="center"/>
    </xf>
    <xf numFmtId="3" fontId="30" fillId="2" borderId="11" xfId="27" quotePrefix="1" applyNumberFormat="1" applyFont="1" applyFill="1" applyBorder="1" applyAlignment="1">
      <alignment horizontal="right" vertical="center" shrinkToFit="1"/>
    </xf>
    <xf numFmtId="3" fontId="4" fillId="2" borderId="11" xfId="28" applyNumberFormat="1" applyFont="1" applyFill="1" applyBorder="1" applyAlignment="1">
      <alignment horizontal="right" vertical="center"/>
    </xf>
    <xf numFmtId="165" fontId="4" fillId="2" borderId="11" xfId="29" applyNumberFormat="1" applyFont="1" applyFill="1" applyBorder="1" applyAlignment="1">
      <alignment vertical="center" wrapText="1"/>
    </xf>
    <xf numFmtId="3" fontId="4" fillId="2" borderId="11" xfId="0" applyNumberFormat="1" applyFont="1" applyFill="1" applyBorder="1" applyAlignment="1">
      <alignment vertical="center"/>
    </xf>
    <xf numFmtId="165" fontId="4" fillId="2" borderId="11" xfId="29" applyNumberFormat="1" applyFont="1" applyFill="1" applyBorder="1" applyAlignment="1">
      <alignment horizontal="right" vertical="center" wrapText="1"/>
    </xf>
    <xf numFmtId="165" fontId="4" fillId="2" borderId="11" xfId="29" applyNumberFormat="1" applyFont="1" applyFill="1" applyBorder="1" applyAlignment="1">
      <alignment vertical="center"/>
    </xf>
    <xf numFmtId="165" fontId="4" fillId="2" borderId="11" xfId="29" applyNumberFormat="1" applyFont="1" applyFill="1" applyBorder="1" applyAlignment="1">
      <alignment horizontal="center" vertical="center"/>
    </xf>
    <xf numFmtId="3" fontId="4" fillId="2" borderId="11" xfId="30" applyNumberFormat="1" applyFont="1" applyFill="1" applyBorder="1" applyAlignment="1">
      <alignment horizontal="right" vertical="center" wrapText="1"/>
    </xf>
    <xf numFmtId="3" fontId="4" fillId="2" borderId="11" xfId="29" applyNumberFormat="1" applyFont="1" applyFill="1" applyBorder="1" applyAlignment="1">
      <alignment horizontal="right" vertical="center"/>
    </xf>
    <xf numFmtId="3" fontId="4" fillId="2" borderId="11" xfId="29" applyNumberFormat="1" applyFont="1" applyFill="1" applyBorder="1" applyAlignment="1">
      <alignment horizontal="right" vertical="center" wrapText="1"/>
    </xf>
    <xf numFmtId="3" fontId="4" fillId="2" borderId="11" xfId="2" applyNumberFormat="1" applyFont="1" applyFill="1" applyBorder="1" applyAlignment="1">
      <alignment horizontal="right" vertical="center"/>
    </xf>
    <xf numFmtId="165" fontId="4" fillId="2" borderId="11" xfId="29" applyNumberFormat="1" applyFont="1" applyFill="1" applyBorder="1" applyAlignment="1">
      <alignment horizontal="right" vertical="center"/>
    </xf>
    <xf numFmtId="3" fontId="4" fillId="2" borderId="11" xfId="2" quotePrefix="1" applyNumberFormat="1" applyFont="1" applyFill="1" applyBorder="1" applyAlignment="1">
      <alignment horizontal="right" vertical="center" wrapText="1"/>
    </xf>
    <xf numFmtId="3" fontId="4" fillId="2" borderId="11" xfId="25" applyNumberFormat="1" applyFont="1" applyFill="1" applyBorder="1" applyAlignment="1">
      <alignment horizontal="right" vertical="center"/>
    </xf>
    <xf numFmtId="0" fontId="3" fillId="0" borderId="0" xfId="0" applyFont="1" applyAlignment="1">
      <alignment horizontal="center" vertical="center"/>
    </xf>
    <xf numFmtId="0" fontId="27" fillId="0" borderId="0" xfId="0" applyFont="1" applyAlignment="1">
      <alignment vertical="center" wrapText="1"/>
    </xf>
    <xf numFmtId="0" fontId="27" fillId="0" borderId="0" xfId="0" applyFont="1" applyAlignment="1">
      <alignment vertical="center"/>
    </xf>
    <xf numFmtId="0" fontId="28" fillId="0" borderId="0" xfId="0" applyFont="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vertical="center" wrapText="1"/>
    </xf>
    <xf numFmtId="0" fontId="10" fillId="0" borderId="1" xfId="0" applyFont="1" applyBorder="1" applyAlignment="1">
      <alignment horizontal="center" vertical="center" wrapText="1"/>
    </xf>
    <xf numFmtId="3" fontId="12" fillId="0" borderId="0" xfId="0" applyNumberFormat="1" applyFont="1" applyAlignment="1">
      <alignment horizontal="right" vertical="center" wrapText="1"/>
    </xf>
    <xf numFmtId="3" fontId="12" fillId="0" borderId="0" xfId="0" applyNumberFormat="1" applyFont="1" applyAlignment="1">
      <alignment vertical="center" wrapText="1"/>
    </xf>
    <xf numFmtId="0" fontId="14" fillId="0" borderId="1" xfId="0" applyFont="1" applyBorder="1" applyAlignment="1">
      <alignment horizontal="center" vertical="center" wrapText="1"/>
    </xf>
    <xf numFmtId="0" fontId="14" fillId="0" borderId="0" xfId="0" applyFont="1" applyAlignment="1">
      <alignment vertical="center" wrapText="1"/>
    </xf>
    <xf numFmtId="3" fontId="15" fillId="0" borderId="12" xfId="2" applyNumberFormat="1" applyFont="1" applyBorder="1" applyAlignment="1">
      <alignment horizontal="center" vertical="center" wrapText="1"/>
    </xf>
    <xf numFmtId="0" fontId="12" fillId="0" borderId="12" xfId="0" quotePrefix="1" applyFont="1" applyBorder="1" applyAlignment="1">
      <alignment horizontal="center" vertical="center" wrapText="1"/>
    </xf>
    <xf numFmtId="3" fontId="15" fillId="0" borderId="0" xfId="0" applyNumberFormat="1" applyFont="1" applyAlignment="1">
      <alignment vertical="center" wrapText="1"/>
    </xf>
    <xf numFmtId="3" fontId="12" fillId="0" borderId="0" xfId="0" applyNumberFormat="1" applyFont="1" applyAlignment="1">
      <alignment horizontal="left" vertical="center" wrapText="1"/>
    </xf>
    <xf numFmtId="0" fontId="15" fillId="0" borderId="0" xfId="0" applyFont="1" applyAlignment="1">
      <alignment vertical="center" wrapText="1"/>
    </xf>
    <xf numFmtId="0" fontId="12" fillId="0" borderId="11" xfId="0" applyFont="1" applyBorder="1" applyAlignment="1">
      <alignment vertical="center" wrapText="1"/>
    </xf>
    <xf numFmtId="3" fontId="12" fillId="0" borderId="11" xfId="0" applyNumberFormat="1" applyFont="1" applyBorder="1" applyAlignment="1">
      <alignment horizontal="right" vertical="center" wrapText="1"/>
    </xf>
    <xf numFmtId="166" fontId="12" fillId="0" borderId="11" xfId="0" applyNumberFormat="1" applyFont="1" applyBorder="1" applyAlignment="1">
      <alignment horizontal="right" vertical="center" wrapText="1"/>
    </xf>
    <xf numFmtId="0" fontId="12" fillId="0" borderId="11" xfId="0" applyFont="1" applyBorder="1" applyAlignment="1">
      <alignment horizontal="center" vertical="center" wrapText="1"/>
    </xf>
    <xf numFmtId="0" fontId="12" fillId="0" borderId="11" xfId="0" quotePrefix="1" applyFont="1" applyBorder="1" applyAlignment="1">
      <alignment horizontal="left" vertical="center" wrapText="1"/>
    </xf>
    <xf numFmtId="166" fontId="13" fillId="0" borderId="11" xfId="0" applyNumberFormat="1" applyFont="1" applyBorder="1" applyAlignment="1">
      <alignment horizontal="right" vertical="center" wrapText="1"/>
    </xf>
    <xf numFmtId="3" fontId="13" fillId="0" borderId="0" xfId="0" applyNumberFormat="1" applyFont="1" applyAlignment="1">
      <alignment vertical="center" wrapText="1"/>
    </xf>
    <xf numFmtId="0" fontId="13" fillId="0" borderId="0" xfId="0" applyFont="1" applyAlignment="1">
      <alignment vertical="center" wrapText="1"/>
    </xf>
    <xf numFmtId="166" fontId="10" fillId="0" borderId="11" xfId="0" applyNumberFormat="1" applyFont="1" applyBorder="1" applyAlignment="1">
      <alignment horizontal="right" vertical="center" wrapText="1"/>
    </xf>
    <xf numFmtId="0" fontId="14" fillId="0" borderId="11" xfId="0" applyFont="1" applyBorder="1" applyAlignment="1">
      <alignment horizontal="left" vertical="center" wrapText="1"/>
    </xf>
    <xf numFmtId="3" fontId="14" fillId="0" borderId="11" xfId="0" applyNumberFormat="1" applyFont="1" applyBorder="1" applyAlignment="1">
      <alignment horizontal="right" vertical="center" wrapText="1"/>
    </xf>
    <xf numFmtId="166" fontId="14" fillId="0" borderId="11" xfId="0" applyNumberFormat="1" applyFont="1" applyBorder="1" applyAlignment="1">
      <alignment horizontal="right" vertical="center" wrapText="1"/>
    </xf>
    <xf numFmtId="3" fontId="14" fillId="0" borderId="0" xfId="0" applyNumberFormat="1" applyFont="1" applyAlignment="1">
      <alignment vertical="center" wrapText="1"/>
    </xf>
    <xf numFmtId="3" fontId="14" fillId="0" borderId="0" xfId="0" applyNumberFormat="1" applyFont="1" applyAlignment="1">
      <alignment horizontal="right" vertical="center" wrapText="1"/>
    </xf>
    <xf numFmtId="0" fontId="10" fillId="0" borderId="11" xfId="0" applyFont="1" applyBorder="1" applyAlignment="1">
      <alignment horizontal="center" vertical="center" wrapText="1"/>
    </xf>
    <xf numFmtId="0" fontId="10" fillId="0" borderId="11" xfId="0" applyFont="1" applyBorder="1" applyAlignment="1">
      <alignment horizontal="left" vertical="center" wrapText="1"/>
    </xf>
    <xf numFmtId="3" fontId="10" fillId="0" borderId="11" xfId="0" applyNumberFormat="1" applyFont="1" applyBorder="1" applyAlignment="1">
      <alignment horizontal="right" vertical="center" wrapText="1"/>
    </xf>
    <xf numFmtId="0" fontId="10" fillId="0" borderId="11" xfId="0" quotePrefix="1" applyFont="1" applyBorder="1" applyAlignment="1">
      <alignment horizontal="left" vertical="center" wrapText="1"/>
    </xf>
    <xf numFmtId="0" fontId="10" fillId="0" borderId="0" xfId="0" applyFont="1" applyAlignment="1">
      <alignment vertical="center" wrapText="1"/>
    </xf>
    <xf numFmtId="0" fontId="12" fillId="0" borderId="11" xfId="0" quotePrefix="1" applyFont="1" applyBorder="1" applyAlignment="1">
      <alignment horizontal="center" vertical="center" wrapText="1"/>
    </xf>
    <xf numFmtId="166" fontId="12" fillId="0" borderId="0" xfId="0" applyNumberFormat="1" applyFont="1" applyAlignment="1">
      <alignment vertical="center" wrapText="1"/>
    </xf>
    <xf numFmtId="0" fontId="10" fillId="0" borderId="11" xfId="0" quotePrefix="1" applyFont="1" applyBorder="1" applyAlignment="1">
      <alignment horizontal="center" vertical="center" wrapText="1"/>
    </xf>
    <xf numFmtId="0" fontId="14" fillId="0" borderId="11" xfId="0" quotePrefix="1" applyFont="1" applyBorder="1" applyAlignment="1">
      <alignment horizontal="left" vertical="center" wrapText="1"/>
    </xf>
    <xf numFmtId="0" fontId="13" fillId="0" borderId="11" xfId="0" quotePrefix="1" applyFont="1" applyBorder="1" applyAlignment="1">
      <alignment horizontal="center" vertical="center" wrapText="1"/>
    </xf>
    <xf numFmtId="3" fontId="10" fillId="0" borderId="11" xfId="2" quotePrefix="1" applyNumberFormat="1" applyFont="1" applyBorder="1" applyAlignment="1">
      <alignment horizontal="left" vertical="center" wrapText="1"/>
    </xf>
    <xf numFmtId="0" fontId="10" fillId="0" borderId="13" xfId="0" applyFont="1" applyBorder="1" applyAlignment="1">
      <alignment horizontal="center" vertical="center" wrapText="1"/>
    </xf>
    <xf numFmtId="0" fontId="10" fillId="0" borderId="13" xfId="0" applyFont="1" applyBorder="1" applyAlignment="1">
      <alignment vertical="center" wrapText="1"/>
    </xf>
    <xf numFmtId="3" fontId="10" fillId="0" borderId="13" xfId="0" applyNumberFormat="1" applyFont="1" applyBorder="1" applyAlignment="1">
      <alignment vertical="center" wrapText="1"/>
    </xf>
    <xf numFmtId="0" fontId="3" fillId="0" borderId="0" xfId="0" applyFont="1" applyAlignment="1">
      <alignment horizontal="center" vertical="center" wrapText="1"/>
    </xf>
    <xf numFmtId="0" fontId="3" fillId="0" borderId="0" xfId="0" applyFont="1" applyAlignment="1">
      <alignment vertical="center" wrapText="1"/>
    </xf>
    <xf numFmtId="3" fontId="3" fillId="0" borderId="0" xfId="0" applyNumberFormat="1" applyFont="1" applyAlignment="1">
      <alignment vertical="center" wrapText="1"/>
    </xf>
    <xf numFmtId="3" fontId="3" fillId="0" borderId="0" xfId="0" applyNumberFormat="1" applyFont="1" applyAlignment="1">
      <alignment vertical="center"/>
    </xf>
    <xf numFmtId="0" fontId="6" fillId="0" borderId="0" xfId="0" applyFont="1" applyAlignment="1">
      <alignment vertical="center"/>
    </xf>
    <xf numFmtId="0" fontId="12" fillId="0" borderId="11" xfId="0" applyFont="1" applyBorder="1" applyAlignment="1">
      <alignment horizontal="left" vertical="center" wrapText="1"/>
    </xf>
    <xf numFmtId="0" fontId="12" fillId="0" borderId="11" xfId="3" applyFont="1" applyFill="1" applyBorder="1" applyAlignment="1">
      <alignment horizontal="center" vertical="center"/>
    </xf>
    <xf numFmtId="0" fontId="12" fillId="0" borderId="11" xfId="0" applyFont="1" applyFill="1" applyBorder="1" applyAlignment="1">
      <alignment vertical="center" wrapText="1"/>
    </xf>
    <xf numFmtId="3" fontId="12" fillId="0" borderId="11" xfId="0" applyNumberFormat="1" applyFont="1" applyFill="1" applyBorder="1" applyAlignment="1">
      <alignment horizontal="right" vertical="center" wrapText="1"/>
    </xf>
    <xf numFmtId="166" fontId="12" fillId="0" borderId="11" xfId="0" applyNumberFormat="1" applyFont="1" applyFill="1" applyBorder="1" applyAlignment="1">
      <alignment horizontal="right" vertical="center" wrapText="1"/>
    </xf>
    <xf numFmtId="0" fontId="12" fillId="0" borderId="11" xfId="0" applyFont="1" applyFill="1" applyBorder="1" applyAlignment="1">
      <alignment horizontal="center" vertical="center" wrapText="1"/>
    </xf>
    <xf numFmtId="3" fontId="12" fillId="0" borderId="0" xfId="0" applyNumberFormat="1" applyFont="1" applyFill="1" applyAlignment="1">
      <alignment vertical="center" wrapText="1"/>
    </xf>
    <xf numFmtId="0" fontId="12" fillId="0" borderId="0" xfId="0" applyFont="1" applyFill="1" applyAlignment="1">
      <alignment vertical="center" wrapText="1"/>
    </xf>
    <xf numFmtId="0" fontId="12" fillId="0" borderId="11" xfId="0" applyFont="1" applyFill="1" applyBorder="1" applyAlignment="1">
      <alignment horizontal="left" vertical="center" wrapText="1"/>
    </xf>
    <xf numFmtId="3" fontId="29" fillId="0" borderId="4" xfId="0" applyNumberFormat="1" applyFont="1" applyBorder="1" applyAlignment="1">
      <alignment horizontal="center" vertical="center" wrapText="1"/>
    </xf>
    <xf numFmtId="3" fontId="29" fillId="0" borderId="3" xfId="0" applyNumberFormat="1" applyFont="1" applyBorder="1" applyAlignment="1">
      <alignment horizontal="center" vertical="center" wrapText="1"/>
    </xf>
    <xf numFmtId="3" fontId="29" fillId="0" borderId="5"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3" fontId="44" fillId="0" borderId="1" xfId="36" applyNumberFormat="1" applyFont="1" applyFill="1" applyBorder="1" applyAlignment="1">
      <alignment horizontal="center" vertical="center" wrapText="1"/>
    </xf>
    <xf numFmtId="3" fontId="29" fillId="0" borderId="1" xfId="36" applyNumberFormat="1" applyFont="1" applyFill="1" applyBorder="1" applyAlignment="1">
      <alignment horizontal="center" vertical="center" wrapText="1"/>
    </xf>
    <xf numFmtId="0" fontId="29" fillId="0" borderId="1" xfId="34" applyFont="1" applyBorder="1" applyAlignment="1">
      <alignment horizontal="center" vertical="center" wrapText="1"/>
    </xf>
    <xf numFmtId="168" fontId="4" fillId="0" borderId="11" xfId="26" applyNumberFormat="1" applyFont="1" applyBorder="1" applyAlignment="1">
      <alignment vertical="center" wrapText="1"/>
    </xf>
    <xf numFmtId="168" fontId="4" fillId="0" borderId="11" xfId="26" applyNumberFormat="1" applyFont="1" applyBorder="1" applyAlignment="1">
      <alignment horizontal="center" vertical="center" wrapText="1"/>
    </xf>
    <xf numFmtId="0" fontId="4" fillId="2" borderId="11" xfId="33" applyFont="1" applyFill="1" applyBorder="1" applyAlignment="1">
      <alignment horizontal="left" vertical="top" wrapText="1"/>
    </xf>
    <xf numFmtId="0" fontId="4" fillId="2" borderId="11" xfId="34" applyFont="1" applyFill="1" applyBorder="1" applyAlignment="1">
      <alignment horizontal="center" vertical="top" wrapText="1"/>
    </xf>
    <xf numFmtId="0" fontId="4" fillId="0" borderId="11" xfId="0" applyFont="1" applyBorder="1" applyAlignment="1">
      <alignment horizontal="center" vertical="top" wrapText="1"/>
    </xf>
    <xf numFmtId="0" fontId="4" fillId="0" borderId="11" xfId="20" applyFont="1" applyFill="1" applyBorder="1" applyAlignment="1" applyProtection="1">
      <alignment horizontal="center" vertical="center" wrapText="1"/>
    </xf>
    <xf numFmtId="0" fontId="4" fillId="0" borderId="11" xfId="34" applyFont="1" applyBorder="1" applyAlignment="1">
      <alignment horizontal="center" vertical="center" wrapText="1"/>
    </xf>
    <xf numFmtId="0" fontId="4" fillId="0" borderId="11" xfId="20" applyFont="1" applyFill="1" applyBorder="1" applyAlignment="1" applyProtection="1">
      <alignment vertical="center"/>
    </xf>
    <xf numFmtId="0" fontId="46" fillId="0" borderId="1" xfId="35" applyFont="1" applyBorder="1" applyAlignment="1">
      <alignment horizontal="center" vertical="center"/>
    </xf>
    <xf numFmtId="0" fontId="34" fillId="0" borderId="1" xfId="35" applyFont="1" applyBorder="1" applyAlignment="1">
      <alignment horizontal="center" vertical="center"/>
    </xf>
    <xf numFmtId="0" fontId="46" fillId="0" borderId="1" xfId="35" applyFont="1" applyBorder="1" applyAlignment="1">
      <alignment horizontal="center" vertical="center" wrapText="1"/>
    </xf>
    <xf numFmtId="3" fontId="47" fillId="0" borderId="1" xfId="35" applyNumberFormat="1" applyFont="1" applyBorder="1" applyAlignment="1">
      <alignment horizontal="center" vertical="center"/>
    </xf>
    <xf numFmtId="3" fontId="43" fillId="0" borderId="1" xfId="35" applyNumberFormat="1" applyFont="1" applyBorder="1" applyAlignment="1">
      <alignment horizontal="center" vertical="center"/>
    </xf>
    <xf numFmtId="3" fontId="11" fillId="0" borderId="1" xfId="35" applyNumberFormat="1" applyFont="1" applyBorder="1" applyAlignment="1">
      <alignment horizontal="center" vertical="center"/>
    </xf>
    <xf numFmtId="3" fontId="42" fillId="0" borderId="1" xfId="35" applyNumberFormat="1" applyFont="1" applyBorder="1" applyAlignment="1">
      <alignment horizontal="center" vertical="center"/>
    </xf>
    <xf numFmtId="0" fontId="48" fillId="0" borderId="1" xfId="35" applyFont="1" applyBorder="1"/>
    <xf numFmtId="0" fontId="49" fillId="0" borderId="1" xfId="35" applyFont="1" applyBorder="1" applyAlignment="1">
      <alignment vertical="center"/>
    </xf>
    <xf numFmtId="0" fontId="49" fillId="0" borderId="1" xfId="35" applyFont="1" applyBorder="1" applyAlignment="1">
      <alignment horizontal="center" vertical="center"/>
    </xf>
    <xf numFmtId="3" fontId="50" fillId="0" borderId="1" xfId="35" applyNumberFormat="1" applyFont="1" applyBorder="1" applyAlignment="1">
      <alignment horizontal="center" vertical="center"/>
    </xf>
    <xf numFmtId="0" fontId="50" fillId="0" borderId="1" xfId="35" applyFont="1" applyBorder="1" applyAlignment="1">
      <alignment horizontal="center" vertical="center"/>
    </xf>
    <xf numFmtId="3" fontId="50" fillId="0" borderId="1" xfId="35" applyNumberFormat="1" applyFont="1" applyBorder="1" applyAlignment="1">
      <alignment vertical="center"/>
    </xf>
    <xf numFmtId="3" fontId="49" fillId="0" borderId="1" xfId="35" applyNumberFormat="1" applyFont="1" applyBorder="1" applyAlignment="1">
      <alignment vertical="center"/>
    </xf>
    <xf numFmtId="3" fontId="17" fillId="0" borderId="1" xfId="35" applyNumberFormat="1" applyFont="1" applyBorder="1" applyAlignment="1">
      <alignment vertical="center"/>
    </xf>
    <xf numFmtId="0" fontId="29" fillId="0" borderId="1" xfId="35" applyFont="1" applyBorder="1" applyAlignment="1">
      <alignment horizontal="center" vertical="top"/>
    </xf>
    <xf numFmtId="0" fontId="29" fillId="0" borderId="1" xfId="35" applyFont="1" applyBorder="1" applyAlignment="1">
      <alignment vertical="top" wrapText="1"/>
    </xf>
    <xf numFmtId="3" fontId="44" fillId="0" borderId="1" xfId="35" applyNumberFormat="1" applyFont="1" applyBorder="1" applyAlignment="1">
      <alignment horizontal="center" vertical="top"/>
    </xf>
    <xf numFmtId="0" fontId="49" fillId="0" borderId="1" xfId="35" applyFont="1" applyBorder="1" applyAlignment="1">
      <alignment horizontal="center" vertical="top"/>
    </xf>
    <xf numFmtId="0" fontId="50" fillId="0" borderId="1" xfId="35" applyFont="1" applyBorder="1" applyAlignment="1">
      <alignment horizontal="center" vertical="top"/>
    </xf>
    <xf numFmtId="3" fontId="50" fillId="0" borderId="1" xfId="35" applyNumberFormat="1" applyFont="1" applyBorder="1" applyAlignment="1">
      <alignment vertical="top"/>
    </xf>
    <xf numFmtId="3" fontId="49" fillId="0" borderId="1" xfId="35" applyNumberFormat="1" applyFont="1" applyBorder="1" applyAlignment="1">
      <alignment vertical="top"/>
    </xf>
    <xf numFmtId="3" fontId="32" fillId="0" borderId="1" xfId="35" applyNumberFormat="1" applyFont="1" applyBorder="1" applyAlignment="1">
      <alignment vertical="top"/>
    </xf>
    <xf numFmtId="3" fontId="51" fillId="0" borderId="1" xfId="35" applyNumberFormat="1" applyFont="1" applyBorder="1" applyAlignment="1">
      <alignment vertical="top"/>
    </xf>
    <xf numFmtId="3" fontId="44" fillId="0" borderId="1" xfId="35" applyNumberFormat="1" applyFont="1" applyBorder="1" applyAlignment="1">
      <alignment vertical="top"/>
    </xf>
    <xf numFmtId="0" fontId="49" fillId="0" borderId="1" xfId="35" applyFont="1" applyBorder="1" applyAlignment="1">
      <alignment vertical="top"/>
    </xf>
    <xf numFmtId="0" fontId="30" fillId="0" borderId="1" xfId="35" applyFont="1" applyBorder="1" applyAlignment="1">
      <alignment vertical="center"/>
    </xf>
    <xf numFmtId="0" fontId="30" fillId="0" borderId="1" xfId="35" applyFont="1" applyBorder="1" applyAlignment="1">
      <alignment vertical="center" wrapText="1"/>
    </xf>
    <xf numFmtId="3" fontId="33" fillId="0" borderId="1" xfId="35" applyNumberFormat="1" applyFont="1" applyBorder="1" applyAlignment="1">
      <alignment horizontal="center" vertical="center"/>
    </xf>
    <xf numFmtId="0" fontId="52" fillId="0" borderId="1" xfId="35" applyFont="1" applyBorder="1" applyAlignment="1">
      <alignment horizontal="center" vertical="center"/>
    </xf>
    <xf numFmtId="0" fontId="53" fillId="0" borderId="1" xfId="35" applyFont="1" applyBorder="1" applyAlignment="1">
      <alignment horizontal="center" vertical="center"/>
    </xf>
    <xf numFmtId="3" fontId="53" fillId="0" borderId="1" xfId="35" applyNumberFormat="1" applyFont="1" applyBorder="1" applyAlignment="1">
      <alignment vertical="center"/>
    </xf>
    <xf numFmtId="3" fontId="33" fillId="0" borderId="1" xfId="35" applyNumberFormat="1" applyFont="1" applyBorder="1" applyAlignment="1">
      <alignment vertical="center"/>
    </xf>
    <xf numFmtId="3" fontId="52" fillId="0" borderId="1" xfId="35" applyNumberFormat="1" applyFont="1" applyBorder="1" applyAlignment="1">
      <alignment vertical="center"/>
    </xf>
    <xf numFmtId="3" fontId="32" fillId="0" borderId="1" xfId="35" applyNumberFormat="1" applyFont="1" applyBorder="1" applyAlignment="1">
      <alignment vertical="center"/>
    </xf>
    <xf numFmtId="3" fontId="45" fillId="0" borderId="1" xfId="35" applyNumberFormat="1" applyFont="1" applyBorder="1" applyAlignment="1">
      <alignment vertical="center"/>
    </xf>
    <xf numFmtId="0" fontId="52" fillId="0" borderId="1" xfId="35" applyFont="1" applyBorder="1" applyAlignment="1">
      <alignment vertical="center"/>
    </xf>
    <xf numFmtId="0" fontId="4" fillId="0" borderId="1" xfId="35" applyFont="1" applyBorder="1" applyAlignment="1">
      <alignment vertical="top"/>
    </xf>
    <xf numFmtId="0" fontId="4" fillId="0" borderId="1" xfId="35" quotePrefix="1" applyFont="1" applyBorder="1" applyAlignment="1">
      <alignment vertical="top" wrapText="1"/>
    </xf>
    <xf numFmtId="0" fontId="34" fillId="0" borderId="1" xfId="35" quotePrefix="1" applyFont="1" applyBorder="1" applyAlignment="1">
      <alignment horizontal="center" vertical="top" wrapText="1"/>
    </xf>
    <xf numFmtId="0" fontId="4" fillId="0" borderId="1" xfId="35" applyFont="1" applyBorder="1" applyAlignment="1">
      <alignment horizontal="center" vertical="top" wrapText="1"/>
    </xf>
    <xf numFmtId="0" fontId="34" fillId="0" borderId="1" xfId="35" applyFont="1" applyBorder="1" applyAlignment="1">
      <alignment horizontal="center" vertical="top" wrapText="1"/>
    </xf>
    <xf numFmtId="0" fontId="4" fillId="0" borderId="1" xfId="35" quotePrefix="1" applyFont="1" applyBorder="1" applyAlignment="1">
      <alignment horizontal="center" vertical="top" wrapText="1"/>
    </xf>
    <xf numFmtId="3" fontId="38" fillId="0" borderId="1" xfId="35" applyNumberFormat="1" applyFont="1" applyBorder="1" applyAlignment="1">
      <alignment vertical="top"/>
    </xf>
    <xf numFmtId="3" fontId="34" fillId="0" borderId="1" xfId="35" applyNumberFormat="1" applyFont="1" applyBorder="1" applyAlignment="1">
      <alignment vertical="top"/>
    </xf>
    <xf numFmtId="3" fontId="4" fillId="0" borderId="1" xfId="35" applyNumberFormat="1" applyFont="1" applyBorder="1" applyAlignment="1">
      <alignment vertical="top"/>
    </xf>
    <xf numFmtId="3" fontId="38" fillId="0" borderId="1" xfId="36" applyNumberFormat="1" applyFont="1" applyFill="1" applyBorder="1" applyAlignment="1">
      <alignment horizontal="right" vertical="top" wrapText="1" shrinkToFit="1"/>
    </xf>
    <xf numFmtId="3" fontId="34" fillId="0" borderId="1" xfId="36" applyNumberFormat="1" applyFont="1" applyFill="1" applyBorder="1" applyAlignment="1">
      <alignment horizontal="right" vertical="top" wrapText="1" shrinkToFit="1"/>
    </xf>
    <xf numFmtId="0" fontId="4" fillId="0" borderId="1" xfId="35" applyFont="1" applyBorder="1" applyAlignment="1">
      <alignment horizontal="right" vertical="top"/>
    </xf>
    <xf numFmtId="0" fontId="4" fillId="0" borderId="1" xfId="35" applyFont="1" applyBorder="1" applyAlignment="1">
      <alignment vertical="top" wrapText="1"/>
    </xf>
    <xf numFmtId="0" fontId="30" fillId="0" borderId="1" xfId="35" applyFont="1" applyBorder="1" applyAlignment="1">
      <alignment vertical="top"/>
    </xf>
    <xf numFmtId="0" fontId="30" fillId="0" borderId="1" xfId="35" applyFont="1" applyBorder="1" applyAlignment="1">
      <alignment vertical="top" wrapText="1"/>
    </xf>
    <xf numFmtId="3" fontId="33" fillId="0" borderId="1" xfId="35" applyNumberFormat="1" applyFont="1" applyBorder="1" applyAlignment="1">
      <alignment horizontal="center" vertical="top"/>
    </xf>
    <xf numFmtId="0" fontId="30" fillId="0" borderId="1" xfId="35" applyFont="1" applyBorder="1" applyAlignment="1">
      <alignment horizontal="center" vertical="top" wrapText="1"/>
    </xf>
    <xf numFmtId="0" fontId="33" fillId="0" borderId="1" xfId="35" applyFont="1" applyBorder="1" applyAlignment="1">
      <alignment horizontal="center" vertical="top" wrapText="1"/>
    </xf>
    <xf numFmtId="3" fontId="33" fillId="0" borderId="1" xfId="35" applyNumberFormat="1" applyFont="1" applyBorder="1" applyAlignment="1">
      <alignment vertical="top" wrapText="1"/>
    </xf>
    <xf numFmtId="3" fontId="33" fillId="0" borderId="1" xfId="35" applyNumberFormat="1" applyFont="1" applyBorder="1" applyAlignment="1">
      <alignment vertical="top"/>
    </xf>
    <xf numFmtId="3" fontId="30" fillId="0" borderId="1" xfId="35" applyNumberFormat="1" applyFont="1" applyBorder="1" applyAlignment="1">
      <alignment vertical="top"/>
    </xf>
    <xf numFmtId="3" fontId="34" fillId="0" borderId="1" xfId="35" applyNumberFormat="1" applyFont="1" applyBorder="1" applyAlignment="1">
      <alignment vertical="top" wrapText="1"/>
    </xf>
    <xf numFmtId="3" fontId="4" fillId="0" borderId="1" xfId="36" applyNumberFormat="1" applyFont="1" applyFill="1" applyBorder="1" applyAlignment="1">
      <alignment horizontal="right" vertical="top" wrapText="1" shrinkToFit="1"/>
    </xf>
    <xf numFmtId="0" fontId="55" fillId="0" borderId="1" xfId="35" applyFont="1" applyBorder="1" applyAlignment="1">
      <alignment vertical="top"/>
    </xf>
    <xf numFmtId="0" fontId="55" fillId="0" borderId="1" xfId="35" quotePrefix="1" applyFont="1" applyBorder="1" applyAlignment="1">
      <alignment vertical="top" wrapText="1"/>
    </xf>
    <xf numFmtId="0" fontId="55" fillId="0" borderId="1" xfId="35" quotePrefix="1" applyFont="1" applyBorder="1" applyAlignment="1">
      <alignment horizontal="center" vertical="top" wrapText="1"/>
    </xf>
    <xf numFmtId="0" fontId="55" fillId="0" borderId="1" xfId="35" applyFont="1" applyBorder="1" applyAlignment="1">
      <alignment horizontal="center" vertical="top" wrapText="1"/>
    </xf>
    <xf numFmtId="3" fontId="55" fillId="0" borderId="1" xfId="35" applyNumberFormat="1" applyFont="1" applyBorder="1" applyAlignment="1">
      <alignment vertical="top"/>
    </xf>
    <xf numFmtId="3" fontId="55" fillId="0" borderId="1" xfId="36" applyNumberFormat="1" applyFont="1" applyFill="1" applyBorder="1" applyAlignment="1">
      <alignment horizontal="right" vertical="top" wrapText="1" shrinkToFit="1"/>
    </xf>
    <xf numFmtId="0" fontId="29" fillId="0" borderId="1" xfId="34" applyFont="1" applyBorder="1" applyAlignment="1">
      <alignment horizontal="left" vertical="center" wrapText="1"/>
    </xf>
    <xf numFmtId="3" fontId="44" fillId="0" borderId="1" xfId="34" applyNumberFormat="1" applyFont="1" applyBorder="1" applyAlignment="1">
      <alignment horizontal="center" vertical="center" wrapText="1"/>
    </xf>
    <xf numFmtId="0" fontId="4" fillId="0" borderId="1" xfId="34" applyBorder="1" applyAlignment="1">
      <alignment horizontal="center" vertical="center" wrapText="1"/>
    </xf>
    <xf numFmtId="0" fontId="34" fillId="0" borderId="1" xfId="34" applyFont="1" applyBorder="1" applyAlignment="1">
      <alignment horizontal="center" vertical="center" wrapText="1"/>
    </xf>
    <xf numFmtId="1" fontId="34" fillId="0" borderId="1" xfId="34" applyNumberFormat="1" applyFont="1" applyBorder="1" applyAlignment="1">
      <alignment horizontal="center" vertical="center" wrapText="1"/>
    </xf>
    <xf numFmtId="1" fontId="4" fillId="0" borderId="1" xfId="34" applyNumberFormat="1" applyBorder="1" applyAlignment="1">
      <alignment horizontal="center" vertical="center" wrapText="1"/>
    </xf>
    <xf numFmtId="3" fontId="29" fillId="0" borderId="1" xfId="34" applyNumberFormat="1" applyFont="1" applyBorder="1" applyAlignment="1">
      <alignment horizontal="right" vertical="center" wrapText="1"/>
    </xf>
    <xf numFmtId="3" fontId="44" fillId="0" borderId="1" xfId="34" applyNumberFormat="1" applyFont="1" applyBorder="1" applyAlignment="1">
      <alignment horizontal="right" vertical="center" wrapText="1"/>
    </xf>
    <xf numFmtId="0" fontId="51" fillId="0" borderId="1" xfId="35" applyFont="1" applyBorder="1" applyAlignment="1">
      <alignment vertical="top"/>
    </xf>
    <xf numFmtId="2" fontId="29" fillId="0" borderId="1" xfId="34" applyNumberFormat="1" applyFont="1" applyBorder="1" applyAlignment="1">
      <alignment horizontal="left" vertical="center" wrapText="1"/>
    </xf>
    <xf numFmtId="0" fontId="39" fillId="0" borderId="1" xfId="35" applyBorder="1" applyAlignment="1">
      <alignment vertical="top"/>
    </xf>
    <xf numFmtId="0" fontId="11" fillId="0" borderId="1" xfId="34" applyFont="1" applyBorder="1" applyAlignment="1">
      <alignment horizontal="right" vertical="top" wrapText="1"/>
    </xf>
    <xf numFmtId="2" fontId="11" fillId="0" borderId="1" xfId="34" applyNumberFormat="1" applyFont="1" applyBorder="1" applyAlignment="1">
      <alignment horizontal="left" vertical="top" wrapText="1"/>
    </xf>
    <xf numFmtId="3" fontId="43" fillId="0" borderId="1" xfId="34" applyNumberFormat="1" applyFont="1" applyBorder="1" applyAlignment="1">
      <alignment horizontal="center" vertical="top" wrapText="1"/>
    </xf>
    <xf numFmtId="0" fontId="4" fillId="0" borderId="1" xfId="34" applyBorder="1" applyAlignment="1">
      <alignment horizontal="center" vertical="top" wrapText="1"/>
    </xf>
    <xf numFmtId="0" fontId="34" fillId="0" borderId="1" xfId="34" applyFont="1" applyBorder="1" applyAlignment="1">
      <alignment horizontal="center" vertical="top" wrapText="1"/>
    </xf>
    <xf numFmtId="1" fontId="34" fillId="0" borderId="1" xfId="34" applyNumberFormat="1" applyFont="1" applyBorder="1" applyAlignment="1">
      <alignment horizontal="center" vertical="top" wrapText="1"/>
    </xf>
    <xf numFmtId="1" fontId="4" fillId="0" borderId="1" xfId="34" applyNumberFormat="1" applyBorder="1" applyAlignment="1">
      <alignment horizontal="center" vertical="top" wrapText="1"/>
    </xf>
    <xf numFmtId="3" fontId="11" fillId="0" borderId="1" xfId="34" applyNumberFormat="1" applyFont="1" applyBorder="1" applyAlignment="1">
      <alignment horizontal="right" vertical="top" wrapText="1"/>
    </xf>
    <xf numFmtId="3" fontId="43" fillId="0" borderId="1" xfId="34" applyNumberFormat="1" applyFont="1" applyBorder="1" applyAlignment="1">
      <alignment horizontal="right" vertical="top" wrapText="1"/>
    </xf>
    <xf numFmtId="0" fontId="4" fillId="0" borderId="1" xfId="34" quotePrefix="1" applyBorder="1" applyAlignment="1">
      <alignment horizontal="left" vertical="top" wrapText="1"/>
    </xf>
    <xf numFmtId="0" fontId="34" fillId="0" borderId="1" xfId="34" quotePrefix="1" applyFont="1" applyBorder="1" applyAlignment="1">
      <alignment horizontal="center" vertical="top" wrapText="1"/>
    </xf>
    <xf numFmtId="0" fontId="4" fillId="0" borderId="1" xfId="34" quotePrefix="1" applyBorder="1" applyAlignment="1">
      <alignment horizontal="center" vertical="top" wrapText="1"/>
    </xf>
    <xf numFmtId="2" fontId="56" fillId="0" borderId="1" xfId="34" applyNumberFormat="1" applyFont="1" applyBorder="1" applyAlignment="1">
      <alignment horizontal="left" vertical="center" wrapText="1"/>
    </xf>
    <xf numFmtId="2" fontId="44" fillId="0" borderId="1" xfId="34" applyNumberFormat="1" applyFont="1" applyBorder="1" applyAlignment="1">
      <alignment horizontal="center" vertical="center" wrapText="1"/>
    </xf>
    <xf numFmtId="1" fontId="38" fillId="0" borderId="1" xfId="34" applyNumberFormat="1" applyFont="1" applyBorder="1" applyAlignment="1">
      <alignment horizontal="center" vertical="center" wrapText="1"/>
    </xf>
    <xf numFmtId="0" fontId="11" fillId="0" borderId="1" xfId="34" applyFont="1" applyBorder="1" applyAlignment="1">
      <alignment horizontal="left" vertical="top" wrapText="1"/>
    </xf>
    <xf numFmtId="0" fontId="42" fillId="0" borderId="1" xfId="34" applyFont="1" applyBorder="1" applyAlignment="1">
      <alignment horizontal="right" vertical="top" wrapText="1"/>
    </xf>
    <xf numFmtId="0" fontId="38" fillId="0" borderId="1" xfId="34" quotePrefix="1" applyFont="1" applyBorder="1" applyAlignment="1">
      <alignment horizontal="left" vertical="top" wrapText="1"/>
    </xf>
    <xf numFmtId="0" fontId="38" fillId="0" borderId="1" xfId="34" applyFont="1" applyBorder="1" applyAlignment="1">
      <alignment horizontal="center" vertical="top" wrapText="1"/>
    </xf>
    <xf numFmtId="1" fontId="38" fillId="0" borderId="1" xfId="34" applyNumberFormat="1" applyFont="1" applyBorder="1" applyAlignment="1">
      <alignment horizontal="center" vertical="top" wrapText="1"/>
    </xf>
    <xf numFmtId="3" fontId="4" fillId="0" borderId="1" xfId="34" applyNumberFormat="1" applyBorder="1" applyAlignment="1">
      <alignment horizontal="right" vertical="top" wrapText="1"/>
    </xf>
    <xf numFmtId="0" fontId="38" fillId="0" borderId="1" xfId="35" applyFont="1" applyBorder="1" applyAlignment="1">
      <alignment vertical="top"/>
    </xf>
    <xf numFmtId="3" fontId="4" fillId="0" borderId="1" xfId="34" applyNumberFormat="1" applyBorder="1" applyAlignment="1">
      <alignment vertical="top" wrapText="1"/>
    </xf>
    <xf numFmtId="0" fontId="29" fillId="0" borderId="1" xfId="37" applyFont="1" applyBorder="1" applyAlignment="1">
      <alignment horizontal="left" vertical="center" wrapText="1"/>
    </xf>
    <xf numFmtId="0" fontId="4" fillId="0" borderId="1" xfId="35" applyFont="1" applyBorder="1" applyAlignment="1">
      <alignment vertical="center"/>
    </xf>
    <xf numFmtId="0" fontId="11" fillId="0" borderId="1" xfId="37" applyFont="1" applyBorder="1" applyAlignment="1">
      <alignment horizontal="left" vertical="top" wrapText="1"/>
    </xf>
    <xf numFmtId="0" fontId="11" fillId="0" borderId="1" xfId="34" applyFont="1" applyBorder="1" applyAlignment="1">
      <alignment horizontal="center" vertical="top" wrapText="1"/>
    </xf>
    <xf numFmtId="0" fontId="43" fillId="0" borderId="1" xfId="34" applyFont="1" applyBorder="1" applyAlignment="1">
      <alignment horizontal="center" vertical="top" wrapText="1"/>
    </xf>
    <xf numFmtId="1" fontId="43" fillId="0" borderId="1" xfId="34" applyNumberFormat="1" applyFont="1" applyBorder="1" applyAlignment="1">
      <alignment horizontal="center" vertical="top" wrapText="1"/>
    </xf>
    <xf numFmtId="1" fontId="11" fillId="0" borderId="1" xfId="34" applyNumberFormat="1" applyFont="1" applyBorder="1" applyAlignment="1">
      <alignment horizontal="center" vertical="top" wrapText="1"/>
    </xf>
    <xf numFmtId="0" fontId="4" fillId="0" borderId="1" xfId="34" applyBorder="1" applyAlignment="1">
      <alignment horizontal="right" vertical="top" wrapText="1"/>
    </xf>
    <xf numFmtId="0" fontId="4" fillId="0" borderId="1" xfId="37" quotePrefix="1" applyFont="1" applyBorder="1" applyAlignment="1">
      <alignment horizontal="left" vertical="top" wrapText="1"/>
    </xf>
    <xf numFmtId="0" fontId="4" fillId="0" borderId="1" xfId="37" quotePrefix="1" applyFont="1" applyBorder="1" applyAlignment="1">
      <alignment horizontal="center" vertical="top" wrapText="1"/>
    </xf>
    <xf numFmtId="3" fontId="34" fillId="0" borderId="1" xfId="34" applyNumberFormat="1" applyFont="1" applyBorder="1" applyAlignment="1">
      <alignment horizontal="right" vertical="top" wrapText="1"/>
    </xf>
    <xf numFmtId="3" fontId="11" fillId="0" borderId="1" xfId="35" applyNumberFormat="1" applyFont="1" applyBorder="1" applyAlignment="1">
      <alignment vertical="top"/>
    </xf>
    <xf numFmtId="3" fontId="43" fillId="0" borderId="1" xfId="35" applyNumberFormat="1" applyFont="1" applyBorder="1" applyAlignment="1">
      <alignment vertical="top"/>
    </xf>
    <xf numFmtId="0" fontId="34" fillId="0" borderId="1" xfId="35" applyFont="1" applyBorder="1" applyAlignment="1">
      <alignment vertical="top"/>
    </xf>
    <xf numFmtId="3" fontId="44" fillId="0" borderId="1" xfId="35" applyNumberFormat="1" applyFont="1" applyBorder="1" applyAlignment="1">
      <alignment horizontal="center" vertical="center"/>
    </xf>
    <xf numFmtId="0" fontId="29" fillId="0" borderId="1" xfId="35" applyFont="1" applyBorder="1" applyAlignment="1">
      <alignment horizontal="center" vertical="center" wrapText="1"/>
    </xf>
    <xf numFmtId="0" fontId="44" fillId="0" borderId="1" xfId="35" applyFont="1" applyBorder="1" applyAlignment="1">
      <alignment horizontal="center" vertical="center" wrapText="1"/>
    </xf>
    <xf numFmtId="3" fontId="44" fillId="0" borderId="1" xfId="35" applyNumberFormat="1" applyFont="1" applyBorder="1" applyAlignment="1">
      <alignment vertical="center" wrapText="1"/>
    </xf>
    <xf numFmtId="3" fontId="44" fillId="0" borderId="1" xfId="35" applyNumberFormat="1" applyFont="1" applyBorder="1" applyAlignment="1">
      <alignment vertical="center"/>
    </xf>
    <xf numFmtId="3" fontId="29" fillId="0" borderId="1" xfId="35" applyNumberFormat="1" applyFont="1" applyBorder="1" applyAlignment="1">
      <alignment vertical="center"/>
    </xf>
    <xf numFmtId="0" fontId="56" fillId="0" borderId="1" xfId="35" applyFont="1" applyBorder="1" applyAlignment="1">
      <alignment vertical="center"/>
    </xf>
    <xf numFmtId="0" fontId="11" fillId="0" borderId="1" xfId="35" applyFont="1" applyBorder="1" applyAlignment="1">
      <alignment horizontal="right" vertical="top"/>
    </xf>
    <xf numFmtId="0" fontId="11" fillId="0" borderId="1" xfId="35" applyFont="1" applyBorder="1" applyAlignment="1">
      <alignment vertical="top" wrapText="1"/>
    </xf>
    <xf numFmtId="3" fontId="43" fillId="0" borderId="1" xfId="35" applyNumberFormat="1" applyFont="1" applyBorder="1" applyAlignment="1">
      <alignment horizontal="center" vertical="top"/>
    </xf>
    <xf numFmtId="0" fontId="11" fillId="0" borderId="1" xfId="35" applyFont="1" applyBorder="1" applyAlignment="1">
      <alignment horizontal="center" vertical="top" wrapText="1"/>
    </xf>
    <xf numFmtId="0" fontId="43" fillId="0" borderId="1" xfId="35" applyFont="1" applyBorder="1" applyAlignment="1">
      <alignment horizontal="center" vertical="top" wrapText="1"/>
    </xf>
    <xf numFmtId="3" fontId="43" fillId="0" borderId="1" xfId="35" applyNumberFormat="1" applyFont="1" applyBorder="1" applyAlignment="1">
      <alignment vertical="top" wrapText="1"/>
    </xf>
    <xf numFmtId="0" fontId="34" fillId="0" borderId="1" xfId="37" quotePrefix="1" applyFont="1" applyBorder="1" applyAlignment="1">
      <alignment horizontal="center" vertical="top" wrapText="1"/>
    </xf>
    <xf numFmtId="0" fontId="34" fillId="0" borderId="1" xfId="3" applyFont="1" applyBorder="1" applyAlignment="1">
      <alignment horizontal="center" vertical="top" wrapText="1"/>
    </xf>
    <xf numFmtId="3" fontId="4" fillId="0" borderId="1" xfId="35" applyNumberFormat="1" applyFont="1" applyBorder="1" applyAlignment="1">
      <alignment horizontal="right" vertical="top"/>
    </xf>
    <xf numFmtId="0" fontId="4" fillId="0" borderId="1" xfId="35" applyFont="1" applyBorder="1" applyAlignment="1">
      <alignment horizontal="center" vertical="top"/>
    </xf>
    <xf numFmtId="0" fontId="11" fillId="0" borderId="1" xfId="35" applyFont="1" applyBorder="1" applyAlignment="1">
      <alignment vertical="top"/>
    </xf>
    <xf numFmtId="0" fontId="29" fillId="0" borderId="1" xfId="35" applyFont="1" applyBorder="1" applyAlignment="1">
      <alignment horizontal="center" vertical="center"/>
    </xf>
    <xf numFmtId="0" fontId="29" fillId="0" borderId="1" xfId="35" applyFont="1" applyBorder="1" applyAlignment="1">
      <alignment vertical="center" wrapText="1"/>
    </xf>
    <xf numFmtId="0" fontId="42" fillId="0" borderId="1" xfId="35" applyFont="1" applyBorder="1" applyAlignment="1">
      <alignment horizontal="center" vertical="top" wrapText="1"/>
    </xf>
    <xf numFmtId="3" fontId="42" fillId="0" borderId="1" xfId="35" applyNumberFormat="1" applyFont="1" applyBorder="1" applyAlignment="1">
      <alignment vertical="top"/>
    </xf>
    <xf numFmtId="0" fontId="34" fillId="0" borderId="1" xfId="26" applyFont="1" applyBorder="1" applyAlignment="1">
      <alignment horizontal="center" vertical="top" wrapText="1"/>
    </xf>
    <xf numFmtId="0" fontId="38" fillId="0" borderId="1" xfId="35" applyFont="1" applyBorder="1" applyAlignment="1">
      <alignment horizontal="center" vertical="top" wrapText="1"/>
    </xf>
    <xf numFmtId="0" fontId="4" fillId="0" borderId="1" xfId="26" applyBorder="1" applyAlignment="1">
      <alignment horizontal="center" vertical="top" wrapText="1"/>
    </xf>
    <xf numFmtId="0" fontId="42" fillId="0" borderId="1" xfId="35" applyFont="1" applyBorder="1" applyAlignment="1">
      <alignment horizontal="right" vertical="top"/>
    </xf>
    <xf numFmtId="0" fontId="42" fillId="0" borderId="1" xfId="35" applyFont="1" applyBorder="1" applyAlignment="1">
      <alignment vertical="top" wrapText="1"/>
    </xf>
    <xf numFmtId="0" fontId="42" fillId="0" borderId="1" xfId="35" applyFont="1" applyBorder="1" applyAlignment="1">
      <alignment vertical="top"/>
    </xf>
    <xf numFmtId="0" fontId="38" fillId="0" borderId="1" xfId="35" applyFont="1" applyBorder="1" applyAlignment="1">
      <alignment horizontal="right" vertical="top"/>
    </xf>
    <xf numFmtId="0" fontId="29" fillId="0" borderId="1" xfId="35" applyFont="1" applyBorder="1" applyAlignment="1">
      <alignment vertical="center"/>
    </xf>
    <xf numFmtId="0" fontId="43" fillId="0" borderId="1" xfId="35" applyFont="1" applyBorder="1" applyAlignment="1">
      <alignment vertical="top"/>
    </xf>
    <xf numFmtId="3" fontId="34" fillId="0" borderId="1" xfId="35" applyNumberFormat="1" applyFont="1" applyBorder="1" applyAlignment="1">
      <alignment horizontal="center" vertical="top" wrapText="1"/>
    </xf>
    <xf numFmtId="3" fontId="4" fillId="0" borderId="1" xfId="35" applyNumberFormat="1" applyFont="1" applyBorder="1" applyAlignment="1">
      <alignment horizontal="center" vertical="top" wrapText="1"/>
    </xf>
    <xf numFmtId="0" fontId="39" fillId="0" borderId="1" xfId="35" applyBorder="1" applyAlignment="1">
      <alignment vertical="center"/>
    </xf>
    <xf numFmtId="0" fontId="39" fillId="0" borderId="1" xfId="35" applyBorder="1"/>
    <xf numFmtId="0" fontId="34" fillId="0" borderId="1" xfId="35" applyFont="1" applyBorder="1" applyAlignment="1">
      <alignment horizontal="center"/>
    </xf>
    <xf numFmtId="0" fontId="34" fillId="0" borderId="1" xfId="35" applyFont="1" applyBorder="1"/>
    <xf numFmtId="3" fontId="34" fillId="0" borderId="1" xfId="35" applyNumberFormat="1" applyFont="1" applyBorder="1"/>
    <xf numFmtId="3" fontId="39" fillId="0" borderId="1" xfId="35" applyNumberFormat="1" applyBorder="1"/>
    <xf numFmtId="3" fontId="11" fillId="0" borderId="1" xfId="35" applyNumberFormat="1" applyFont="1" applyBorder="1"/>
    <xf numFmtId="3" fontId="42" fillId="0" borderId="1" xfId="35" applyNumberFormat="1" applyFont="1" applyBorder="1"/>
    <xf numFmtId="3" fontId="43" fillId="0" borderId="1" xfId="35" applyNumberFormat="1" applyFont="1" applyBorder="1"/>
    <xf numFmtId="0" fontId="4" fillId="0" borderId="1" xfId="35" applyFont="1" applyBorder="1"/>
    <xf numFmtId="0" fontId="38" fillId="0" borderId="1" xfId="35" applyFont="1" applyBorder="1"/>
    <xf numFmtId="0" fontId="38" fillId="0" borderId="1" xfId="35" applyFont="1" applyBorder="1" applyAlignment="1">
      <alignment vertical="top" wrapText="1"/>
    </xf>
    <xf numFmtId="0" fontId="34" fillId="0" borderId="1" xfId="35" applyFont="1" applyBorder="1" applyAlignment="1">
      <alignment horizontal="center" vertical="top"/>
    </xf>
    <xf numFmtId="3" fontId="39" fillId="0" borderId="1" xfId="35" applyNumberFormat="1" applyBorder="1" applyAlignment="1">
      <alignment vertical="top"/>
    </xf>
    <xf numFmtId="0" fontId="42" fillId="0" borderId="1" xfId="35" applyFont="1" applyBorder="1" applyAlignment="1">
      <alignment horizontal="right" vertical="center"/>
    </xf>
    <xf numFmtId="0" fontId="42" fillId="0" borderId="1" xfId="35" applyFont="1" applyBorder="1"/>
    <xf numFmtId="3" fontId="43" fillId="0" borderId="1" xfId="35" applyNumberFormat="1" applyFont="1" applyBorder="1" applyAlignment="1">
      <alignment horizontal="center"/>
    </xf>
    <xf numFmtId="0" fontId="43" fillId="0" borderId="1" xfId="35" applyFont="1" applyBorder="1"/>
    <xf numFmtId="3" fontId="29" fillId="0" borderId="1" xfId="38" applyNumberFormat="1" applyFont="1" applyFill="1" applyBorder="1" applyAlignment="1">
      <alignment horizontal="left" vertical="top" wrapText="1" shrinkToFit="1"/>
    </xf>
    <xf numFmtId="0" fontId="14" fillId="0" borderId="2" xfId="0" applyFont="1" applyBorder="1" applyAlignment="1">
      <alignment horizontal="right"/>
    </xf>
    <xf numFmtId="0" fontId="6" fillId="0" borderId="0" xfId="3" applyFont="1" applyAlignment="1">
      <alignment horizontal="center" vertical="center" wrapText="1"/>
    </xf>
    <xf numFmtId="0" fontId="7" fillId="0" borderId="0" xfId="3" applyFont="1" applyAlignment="1">
      <alignment horizontal="center" vertical="center" wrapText="1"/>
    </xf>
    <xf numFmtId="0" fontId="11" fillId="0" borderId="0" xfId="3" applyFont="1" applyAlignment="1">
      <alignment horizontal="center" vertical="center" wrapText="1"/>
    </xf>
    <xf numFmtId="0" fontId="12" fillId="0" borderId="1" xfId="0" applyFont="1" applyBorder="1" applyAlignment="1">
      <alignment horizontal="center" vertical="center" wrapText="1"/>
    </xf>
    <xf numFmtId="0" fontId="35" fillId="0" borderId="0" xfId="0" applyFont="1" applyAlignment="1">
      <alignment horizontal="center" vertical="center" wrapText="1"/>
    </xf>
    <xf numFmtId="0" fontId="37" fillId="0" borderId="0" xfId="0" applyFont="1" applyAlignment="1">
      <alignment horizontal="center" vertical="center" wrapText="1"/>
    </xf>
    <xf numFmtId="0" fontId="14" fillId="0" borderId="0" xfId="0" applyFont="1" applyAlignment="1">
      <alignment horizontal="right" vertical="center"/>
    </xf>
    <xf numFmtId="0" fontId="6" fillId="0" borderId="1" xfId="0" applyFont="1" applyBorder="1" applyAlignment="1">
      <alignment horizontal="center" vertical="center"/>
    </xf>
    <xf numFmtId="0" fontId="12" fillId="0" borderId="0" xfId="0" applyFont="1" applyAlignment="1">
      <alignment horizontal="center" vertical="center" wrapText="1"/>
    </xf>
    <xf numFmtId="0" fontId="13" fillId="0" borderId="1" xfId="0" applyFont="1" applyBorder="1" applyAlignment="1">
      <alignment horizontal="center" vertical="center" wrapText="1"/>
    </xf>
    <xf numFmtId="0" fontId="35" fillId="2" borderId="0" xfId="0" applyFont="1" applyFill="1" applyAlignment="1">
      <alignment horizontal="center"/>
    </xf>
    <xf numFmtId="0" fontId="37" fillId="2" borderId="0" xfId="0" applyFont="1" applyFill="1" applyAlignment="1">
      <alignment horizontal="center" vertical="center" wrapText="1"/>
    </xf>
    <xf numFmtId="3" fontId="11" fillId="0" borderId="2" xfId="0" applyNumberFormat="1" applyFont="1" applyBorder="1" applyAlignment="1">
      <alignment horizontal="right" vertical="center" wrapText="1"/>
    </xf>
    <xf numFmtId="3" fontId="29" fillId="0" borderId="4" xfId="0" applyNumberFormat="1" applyFont="1" applyBorder="1" applyAlignment="1">
      <alignment horizontal="center" vertical="center" wrapText="1"/>
    </xf>
    <xf numFmtId="3" fontId="29" fillId="0" borderId="3" xfId="0" applyNumberFormat="1" applyFont="1" applyBorder="1" applyAlignment="1">
      <alignment horizontal="center" vertical="center" wrapText="1"/>
    </xf>
    <xf numFmtId="3" fontId="29" fillId="0" borderId="5"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3" fontId="29" fillId="0" borderId="9" xfId="0" applyNumberFormat="1" applyFont="1" applyBorder="1" applyAlignment="1">
      <alignment horizontal="center" vertical="center" wrapText="1"/>
    </xf>
    <xf numFmtId="3" fontId="29" fillId="0" borderId="10" xfId="0" applyNumberFormat="1" applyFont="1" applyBorder="1" applyAlignment="1">
      <alignment horizontal="center" vertical="center" wrapText="1"/>
    </xf>
    <xf numFmtId="3" fontId="29" fillId="0" borderId="14" xfId="0" applyNumberFormat="1" applyFont="1" applyBorder="1" applyAlignment="1">
      <alignment horizontal="center" vertical="center" wrapText="1"/>
    </xf>
    <xf numFmtId="3" fontId="29" fillId="0" borderId="6" xfId="0" applyNumberFormat="1" applyFont="1" applyBorder="1" applyAlignment="1">
      <alignment horizontal="center" vertical="center" wrapText="1"/>
    </xf>
    <xf numFmtId="3" fontId="29" fillId="0" borderId="7" xfId="0" applyNumberFormat="1" applyFont="1" applyBorder="1" applyAlignment="1">
      <alignment horizontal="center" vertical="center" wrapText="1"/>
    </xf>
    <xf numFmtId="3" fontId="29" fillId="0" borderId="8" xfId="0" applyNumberFormat="1" applyFont="1" applyBorder="1" applyAlignment="1">
      <alignment horizontal="center" vertical="center" wrapText="1"/>
    </xf>
    <xf numFmtId="0" fontId="35" fillId="2" borderId="0" xfId="0" applyFont="1" applyFill="1" applyAlignment="1">
      <alignment horizontal="center" vertical="center" wrapText="1"/>
    </xf>
    <xf numFmtId="3" fontId="30" fillId="0" borderId="1" xfId="0" applyNumberFormat="1" applyFont="1" applyBorder="1" applyAlignment="1">
      <alignment horizontal="center" vertical="center" wrapText="1"/>
    </xf>
    <xf numFmtId="3" fontId="44" fillId="0" borderId="1" xfId="36" applyNumberFormat="1" applyFont="1" applyFill="1" applyBorder="1" applyAlignment="1">
      <alignment horizontal="center" vertical="center" wrapText="1"/>
    </xf>
    <xf numFmtId="3" fontId="29" fillId="0" borderId="1" xfId="36" applyNumberFormat="1" applyFont="1" applyFill="1" applyBorder="1" applyAlignment="1">
      <alignment horizontal="center" vertical="center" wrapText="1"/>
    </xf>
    <xf numFmtId="0" fontId="29" fillId="0" borderId="1" xfId="34" applyFont="1" applyBorder="1" applyAlignment="1">
      <alignment horizontal="center" vertical="center" wrapText="1"/>
    </xf>
    <xf numFmtId="0" fontId="44" fillId="0" borderId="1" xfId="34" applyFont="1" applyBorder="1" applyAlignment="1">
      <alignment horizontal="center" vertical="center" wrapText="1"/>
    </xf>
    <xf numFmtId="1" fontId="29" fillId="0" borderId="1" xfId="34" applyNumberFormat="1" applyFont="1" applyBorder="1" applyAlignment="1">
      <alignment horizontal="center" vertical="center" wrapText="1"/>
    </xf>
    <xf numFmtId="3" fontId="40" fillId="0" borderId="0" xfId="35" applyNumberFormat="1" applyFont="1" applyAlignment="1">
      <alignment horizontal="center" vertical="center"/>
    </xf>
    <xf numFmtId="0" fontId="40" fillId="0" borderId="0" xfId="35" applyFont="1" applyAlignment="1">
      <alignment horizontal="center" vertical="center" wrapText="1"/>
    </xf>
    <xf numFmtId="0" fontId="41" fillId="0" borderId="0" xfId="35" applyFont="1" applyAlignment="1">
      <alignment horizontal="center" vertical="center"/>
    </xf>
    <xf numFmtId="3" fontId="42" fillId="0" borderId="2" xfId="35" applyNumberFormat="1" applyFont="1" applyBorder="1" applyAlignment="1">
      <alignment horizontal="right"/>
    </xf>
    <xf numFmtId="3" fontId="33" fillId="0" borderId="1" xfId="36" applyNumberFormat="1" applyFont="1" applyFill="1" applyBorder="1" applyAlignment="1">
      <alignment horizontal="center" vertical="center" wrapText="1"/>
    </xf>
  </cellXfs>
  <cellStyles count="39">
    <cellStyle name="Comma [0] 3" xfId="9"/>
    <cellStyle name="Comma [0] 3 2" xfId="31"/>
    <cellStyle name="Comma 10 10" xfId="11"/>
    <cellStyle name="Comma 10 10 2" xfId="28"/>
    <cellStyle name="Comma 10 2" xfId="16"/>
    <cellStyle name="Comma 11 2" xfId="17"/>
    <cellStyle name="Comma 12 2" xfId="14"/>
    <cellStyle name="Comma 16 3" xfId="6"/>
    <cellStyle name="Comma 16 3 3" xfId="32"/>
    <cellStyle name="Comma 2 2" xfId="18"/>
    <cellStyle name="Comma 2 7" xfId="29"/>
    <cellStyle name="Comma 3" xfId="1"/>
    <cellStyle name="Comma 3 4 2" xfId="30"/>
    <cellStyle name="Comma 31 2" xfId="24"/>
    <cellStyle name="Comma 4" xfId="19"/>
    <cellStyle name="Comma 4 4" xfId="27"/>
    <cellStyle name="Comma 5 4" xfId="36"/>
    <cellStyle name="Comma 58" xfId="13"/>
    <cellStyle name="Hyperlink" xfId="20" builtinId="8"/>
    <cellStyle name="Normal" xfId="0" builtinId="0"/>
    <cellStyle name="Normal 10" xfId="15"/>
    <cellStyle name="Normal 10 2" xfId="3"/>
    <cellStyle name="Normal 10 2 5" xfId="34"/>
    <cellStyle name="Normal 11" xfId="4"/>
    <cellStyle name="Normal 19 7" xfId="37"/>
    <cellStyle name="Normal 2" xfId="5"/>
    <cellStyle name="Normal 2 13" xfId="22"/>
    <cellStyle name="Normal 2 2" xfId="23"/>
    <cellStyle name="Normal 2 3 2" xfId="10"/>
    <cellStyle name="Normal 2 3 2 2 3" xfId="33"/>
    <cellStyle name="Normal 3 5" xfId="8"/>
    <cellStyle name="Normal 5 2 7" xfId="35"/>
    <cellStyle name="Normal 55 2" xfId="7"/>
    <cellStyle name="Normal 55 2 2" xfId="26"/>
    <cellStyle name="Normal 7" xfId="25"/>
    <cellStyle name="Normal 7 7" xfId="38"/>
    <cellStyle name="Normal_Bieu mau (CV )" xfId="2"/>
    <cellStyle name="Normal_Bieu mau (CV ) 2 2" xfId="21"/>
    <cellStyle name="Percent" xfId="12" builtinId="5"/>
  </cellStyles>
  <dxfs count="1">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29FC80\1b.%20PHU-LUC%20KH21(20-7)-i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pc\Desktop\2023_11_Ky%20hop%20thuong%20le%20lan%207%20(12-2023)\2.%20To%20trinh%20UBND%20tinh\DUTHAO_%20UBND%20Tinh%20trinh%20H&#272;ND%20Tinh%20(sau%20khi%20h&#7885;p%20BTV%20TU)\KH2024\2-%20Phu%20luc%20kem%20theo%20to%20trinh%20H&#272;ND%20Tinh%20ke%20hoach%20von%20nam%2020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KTNS\KY%20HOP%20THU%20BAY\TO%20TRINH%20UBND\Phuong%20an%20von%202024\To%20trinh%20lan%202\2-%20Phu%20luc%20kem%20To%20trinh%20HDND%20Tinh%20ke%20hoach%20von%202024%20(lan%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1KH20-21"/>
      <sheetName val="PL1a PAKH von"/>
      <sheetName val="PL2 DA21"/>
      <sheetName val="PL2a KCM21"/>
      <sheetName val="ttxs"/>
      <sheetName val="Ghi chu"/>
    </sheetNames>
    <sheetDataSet>
      <sheetData sheetId="0"/>
      <sheetData sheetId="1"/>
      <sheetData sheetId="2">
        <row r="32">
          <cell r="P32">
            <v>0</v>
          </cell>
        </row>
      </sheetData>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1_TH"/>
      <sheetName val="PLa_CDT"/>
      <sheetName val="PL1a_2023"/>
      <sheetName val="PL1b_2023"/>
      <sheetName val="PL2_BKH thong bao"/>
      <sheetName val="PL3_nguon von"/>
      <sheetName val="PL4_chi tiet"/>
      <sheetName val="PL5_qua thoi gian"/>
      <sheetName val="PL6_bo sung"/>
    </sheetNames>
    <sheetDataSet>
      <sheetData sheetId="0" refreshError="1"/>
      <sheetData sheetId="1" refreshError="1"/>
      <sheetData sheetId="2" refreshError="1">
        <row r="3">
          <cell r="A3" t="str">
            <v>(Kèm theo Tờ trình số  204/TTr-UBND ngày  25/11/2023 của Ủy ban nhân dân Tỉnh)</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1_TH"/>
      <sheetName val="PLa_CDT"/>
      <sheetName val="PL1_2023"/>
      <sheetName val="PL2_BKH thong bao"/>
      <sheetName val="PL3_nguon von"/>
      <sheetName val="PL4_chi tiet"/>
      <sheetName val="PL4a_chi tiet NSTW24 NTM "/>
      <sheetName val="PL5_thoi gian bo tri von"/>
      <sheetName val="Sheet1"/>
      <sheetName val="PL6_bo sung"/>
    </sheetNames>
    <sheetDataSet>
      <sheetData sheetId="0"/>
      <sheetData sheetId="1"/>
      <sheetData sheetId="2"/>
      <sheetData sheetId="3"/>
      <sheetData sheetId="4"/>
      <sheetData sheetId="5">
        <row r="3">
          <cell r="A3" t="str">
            <v>(Kèm theo Tờ trình số  210/TTr-UBND ngày  01/12/2023 của Ủy ban nhân dân Tỉnh)</v>
          </cell>
          <cell r="B3">
            <v>0</v>
          </cell>
          <cell r="C3">
            <v>0</v>
          </cell>
          <cell r="D3">
            <v>0</v>
          </cell>
          <cell r="E3">
            <v>0</v>
          </cell>
          <cell r="F3">
            <v>0</v>
          </cell>
          <cell r="G3">
            <v>0</v>
          </cell>
          <cell r="H3">
            <v>0</v>
          </cell>
          <cell r="I3">
            <v>0</v>
          </cell>
          <cell r="J3">
            <v>0</v>
          </cell>
          <cell r="K3">
            <v>0</v>
          </cell>
          <cell r="L3">
            <v>0</v>
          </cell>
          <cell r="M3">
            <v>0</v>
          </cell>
          <cell r="N3">
            <v>0</v>
          </cell>
          <cell r="O3">
            <v>0</v>
          </cell>
          <cell r="P3">
            <v>0</v>
          </cell>
          <cell r="Q3">
            <v>0</v>
          </cell>
          <cell r="R3">
            <v>0</v>
          </cell>
          <cell r="S3">
            <v>0</v>
          </cell>
          <cell r="T3">
            <v>0</v>
          </cell>
          <cell r="U3">
            <v>0</v>
          </cell>
        </row>
      </sheetData>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tabSelected="1" view="pageBreakPreview" zoomScale="80" zoomScaleNormal="82" zoomScaleSheetLayoutView="80" workbookViewId="0">
      <selection activeCell="D9" sqref="D9"/>
    </sheetView>
  </sheetViews>
  <sheetFormatPr defaultColWidth="8.75" defaultRowHeight="14.25" x14ac:dyDescent="0.2"/>
  <cols>
    <col min="1" max="1" width="5.375" style="9" customWidth="1"/>
    <col min="2" max="2" width="44.75" style="9" customWidth="1"/>
    <col min="3" max="3" width="15.75" style="9" customWidth="1"/>
    <col min="4" max="4" width="14.875" style="9" customWidth="1"/>
    <col min="5" max="5" width="17.375" style="9" customWidth="1"/>
    <col min="6" max="6" width="11.875" style="9" customWidth="1"/>
    <col min="7" max="16384" width="8.75" style="9"/>
  </cols>
  <sheetData>
    <row r="1" spans="1:6" s="1" customFormat="1" ht="56.25" customHeight="1" x14ac:dyDescent="0.2">
      <c r="A1" s="468" t="s">
        <v>678</v>
      </c>
      <c r="B1" s="468"/>
      <c r="C1" s="468"/>
      <c r="D1" s="468"/>
      <c r="E1" s="468"/>
      <c r="F1" s="468"/>
    </row>
    <row r="2" spans="1:6" s="1" customFormat="1" ht="26.1" hidden="1" customHeight="1" x14ac:dyDescent="0.2">
      <c r="A2" s="469" t="s">
        <v>268</v>
      </c>
      <c r="B2" s="469"/>
      <c r="C2" s="469"/>
      <c r="D2" s="469"/>
      <c r="E2" s="469"/>
      <c r="F2" s="469"/>
    </row>
    <row r="3" spans="1:6" s="1" customFormat="1" ht="26.1" hidden="1" customHeight="1" x14ac:dyDescent="0.2">
      <c r="A3" s="469" t="s">
        <v>265</v>
      </c>
      <c r="B3" s="469"/>
      <c r="C3" s="469"/>
      <c r="D3" s="469"/>
      <c r="E3" s="469"/>
      <c r="F3" s="469"/>
    </row>
    <row r="4" spans="1:6" s="1" customFormat="1" ht="26.1" hidden="1" customHeight="1" x14ac:dyDescent="0.2">
      <c r="A4" s="469" t="s">
        <v>230</v>
      </c>
      <c r="B4" s="469"/>
      <c r="C4" s="469"/>
      <c r="D4" s="469"/>
      <c r="E4" s="469"/>
      <c r="F4" s="469"/>
    </row>
    <row r="5" spans="1:6" s="1" customFormat="1" ht="39.75" customHeight="1" x14ac:dyDescent="0.2">
      <c r="A5" s="470" t="s">
        <v>1006</v>
      </c>
      <c r="B5" s="470"/>
      <c r="C5" s="470"/>
      <c r="D5" s="470"/>
      <c r="E5" s="470"/>
      <c r="F5" s="470"/>
    </row>
    <row r="6" spans="1:6" s="1" customFormat="1" ht="9.6" customHeight="1" x14ac:dyDescent="0.2">
      <c r="A6" s="15"/>
      <c r="B6" s="15"/>
      <c r="C6" s="15"/>
      <c r="D6" s="15"/>
      <c r="E6" s="15"/>
    </row>
    <row r="7" spans="1:6" ht="20.25" customHeight="1" x14ac:dyDescent="0.25">
      <c r="C7" s="467" t="s">
        <v>221</v>
      </c>
      <c r="D7" s="467"/>
      <c r="E7" s="467"/>
      <c r="F7" s="467"/>
    </row>
    <row r="8" spans="1:6" ht="72.75" customHeight="1" x14ac:dyDescent="0.2">
      <c r="A8" s="21" t="s">
        <v>0</v>
      </c>
      <c r="B8" s="21" t="s">
        <v>1</v>
      </c>
      <c r="C8" s="21" t="s">
        <v>706</v>
      </c>
      <c r="D8" s="21" t="s">
        <v>997</v>
      </c>
      <c r="E8" s="21" t="s">
        <v>1000</v>
      </c>
      <c r="F8" s="21" t="s">
        <v>18</v>
      </c>
    </row>
    <row r="9" spans="1:6" s="16" customFormat="1" ht="23.1" customHeight="1" x14ac:dyDescent="0.2">
      <c r="A9" s="22">
        <v>1</v>
      </c>
      <c r="B9" s="22">
        <v>2</v>
      </c>
      <c r="C9" s="22" t="s">
        <v>998</v>
      </c>
      <c r="D9" s="22">
        <v>4</v>
      </c>
      <c r="E9" s="22">
        <v>5</v>
      </c>
      <c r="F9" s="22">
        <v>6</v>
      </c>
    </row>
    <row r="10" spans="1:6" s="10" customFormat="1" ht="29.45" customHeight="1" x14ac:dyDescent="0.2">
      <c r="A10" s="19"/>
      <c r="B10" s="19" t="s">
        <v>246</v>
      </c>
      <c r="C10" s="20">
        <f>C12+C21</f>
        <v>6677677</v>
      </c>
      <c r="D10" s="20">
        <f>D12+D21</f>
        <v>6501677</v>
      </c>
      <c r="E10" s="20">
        <f>E12</f>
        <v>176000</v>
      </c>
      <c r="F10" s="23"/>
    </row>
    <row r="11" spans="1:6" s="14" customFormat="1" ht="51.75" hidden="1" x14ac:dyDescent="0.2">
      <c r="A11" s="24" t="s">
        <v>228</v>
      </c>
      <c r="B11" s="25" t="s">
        <v>247</v>
      </c>
      <c r="C11" s="26">
        <f>C12+C21</f>
        <v>6677677</v>
      </c>
      <c r="D11" s="26"/>
      <c r="E11" s="26"/>
      <c r="F11" s="27"/>
    </row>
    <row r="12" spans="1:6" s="11" customFormat="1" ht="22.5" customHeight="1" x14ac:dyDescent="0.25">
      <c r="A12" s="28" t="s">
        <v>4</v>
      </c>
      <c r="B12" s="29" t="s">
        <v>5</v>
      </c>
      <c r="C12" s="4">
        <f>C13+C16+C17+C20</f>
        <v>4863186</v>
      </c>
      <c r="D12" s="4">
        <f>D13+D16+D17+D20</f>
        <v>4687186</v>
      </c>
      <c r="E12" s="4">
        <f>E13+E16</f>
        <v>176000</v>
      </c>
      <c r="F12" s="30"/>
    </row>
    <row r="13" spans="1:6" s="11" customFormat="1" ht="22.5" customHeight="1" x14ac:dyDescent="0.25">
      <c r="A13" s="31">
        <v>1</v>
      </c>
      <c r="B13" s="32" t="s">
        <v>6</v>
      </c>
      <c r="C13" s="8">
        <f>C14+C15</f>
        <v>1143186</v>
      </c>
      <c r="D13" s="8">
        <v>1075186</v>
      </c>
      <c r="E13" s="8">
        <v>68000</v>
      </c>
      <c r="F13" s="33"/>
    </row>
    <row r="14" spans="1:6" s="11" customFormat="1" ht="22.5" customHeight="1" x14ac:dyDescent="0.25">
      <c r="A14" s="34"/>
      <c r="B14" s="35" t="s">
        <v>7</v>
      </c>
      <c r="C14" s="7">
        <v>562186</v>
      </c>
      <c r="D14" s="7">
        <v>494186</v>
      </c>
      <c r="E14" s="7">
        <v>68000</v>
      </c>
      <c r="F14" s="30"/>
    </row>
    <row r="15" spans="1:6" s="11" customFormat="1" ht="22.5" customHeight="1" x14ac:dyDescent="0.25">
      <c r="A15" s="34"/>
      <c r="B15" s="35" t="s">
        <v>8</v>
      </c>
      <c r="C15" s="7">
        <f>'PL3-PA DA'!Q371</f>
        <v>581000</v>
      </c>
      <c r="D15" s="7">
        <v>581000</v>
      </c>
      <c r="E15" s="7">
        <v>0</v>
      </c>
      <c r="F15" s="30"/>
    </row>
    <row r="16" spans="1:6" s="11" customFormat="1" ht="22.5" customHeight="1" x14ac:dyDescent="0.25">
      <c r="A16" s="31">
        <v>2</v>
      </c>
      <c r="B16" s="32" t="s">
        <v>9</v>
      </c>
      <c r="C16" s="8">
        <v>1950000</v>
      </c>
      <c r="D16" s="8">
        <v>1842000</v>
      </c>
      <c r="E16" s="8">
        <v>108000</v>
      </c>
      <c r="F16" s="30"/>
    </row>
    <row r="17" spans="1:6" s="11" customFormat="1" ht="22.5" customHeight="1" x14ac:dyDescent="0.25">
      <c r="A17" s="31">
        <v>3</v>
      </c>
      <c r="B17" s="32" t="s">
        <v>14</v>
      </c>
      <c r="C17" s="36">
        <f>C18+C19</f>
        <v>1770000</v>
      </c>
      <c r="D17" s="36">
        <f>D18+D19</f>
        <v>1770000</v>
      </c>
      <c r="E17" s="36">
        <v>0</v>
      </c>
      <c r="F17" s="30"/>
    </row>
    <row r="18" spans="1:6" s="18" customFormat="1" ht="22.5" customHeight="1" x14ac:dyDescent="0.25">
      <c r="A18" s="37"/>
      <c r="B18" s="35" t="s">
        <v>7</v>
      </c>
      <c r="C18" s="7">
        <f>'PL3-PA DA'!U12</f>
        <v>627000</v>
      </c>
      <c r="D18" s="7">
        <v>627000</v>
      </c>
      <c r="E18" s="7">
        <v>0</v>
      </c>
      <c r="F18" s="38"/>
    </row>
    <row r="19" spans="1:6" s="18" customFormat="1" ht="22.5" customHeight="1" x14ac:dyDescent="0.25">
      <c r="A19" s="37"/>
      <c r="B19" s="35" t="s">
        <v>8</v>
      </c>
      <c r="C19" s="7">
        <f>'PL3-PA DA'!U371</f>
        <v>1143000</v>
      </c>
      <c r="D19" s="7">
        <v>1143000</v>
      </c>
      <c r="E19" s="7">
        <v>0</v>
      </c>
      <c r="F19" s="38"/>
    </row>
    <row r="20" spans="1:6" s="11" customFormat="1" ht="22.5" hidden="1" customHeight="1" x14ac:dyDescent="0.25">
      <c r="A20" s="31"/>
      <c r="B20" s="32"/>
      <c r="C20" s="8"/>
      <c r="D20" s="8"/>
      <c r="E20" s="8"/>
      <c r="F20" s="30"/>
    </row>
    <row r="21" spans="1:6" s="11" customFormat="1" ht="22.5" customHeight="1" x14ac:dyDescent="0.25">
      <c r="A21" s="28" t="s">
        <v>10</v>
      </c>
      <c r="B21" s="29" t="s">
        <v>11</v>
      </c>
      <c r="C21" s="4">
        <f>C22+C30</f>
        <v>1814491</v>
      </c>
      <c r="D21" s="4">
        <f>D22+D30</f>
        <v>1814491</v>
      </c>
      <c r="E21" s="4">
        <v>0</v>
      </c>
      <c r="F21" s="30"/>
    </row>
    <row r="22" spans="1:6" s="11" customFormat="1" ht="22.5" customHeight="1" x14ac:dyDescent="0.25">
      <c r="A22" s="31">
        <v>1</v>
      </c>
      <c r="B22" s="32" t="s">
        <v>679</v>
      </c>
      <c r="C22" s="8">
        <f>C23+C27</f>
        <v>1729491</v>
      </c>
      <c r="D22" s="8">
        <v>1729491</v>
      </c>
      <c r="E22" s="8">
        <v>0</v>
      </c>
      <c r="F22" s="30"/>
    </row>
    <row r="23" spans="1:6" s="11" customFormat="1" ht="22.5" customHeight="1" x14ac:dyDescent="0.2">
      <c r="A23" s="31" t="s">
        <v>681</v>
      </c>
      <c r="B23" s="32" t="s">
        <v>269</v>
      </c>
      <c r="C23" s="8">
        <f>C24+C25+C26</f>
        <v>1596570</v>
      </c>
      <c r="D23" s="8">
        <f>D24+D25+D26</f>
        <v>1596570</v>
      </c>
      <c r="E23" s="8">
        <v>0</v>
      </c>
      <c r="F23" s="32"/>
    </row>
    <row r="24" spans="1:6" s="18" customFormat="1" ht="22.5" customHeight="1" x14ac:dyDescent="0.2">
      <c r="A24" s="37"/>
      <c r="B24" s="41" t="s">
        <v>683</v>
      </c>
      <c r="C24" s="7">
        <f>'PL3-PA DA'!S284+'PL3-PA DA'!S285</f>
        <v>1038500</v>
      </c>
      <c r="D24" s="7">
        <v>1038500</v>
      </c>
      <c r="E24" s="7">
        <v>0</v>
      </c>
      <c r="F24" s="35"/>
    </row>
    <row r="25" spans="1:6" s="18" customFormat="1" ht="22.5" customHeight="1" x14ac:dyDescent="0.2">
      <c r="A25" s="37"/>
      <c r="B25" s="41" t="s">
        <v>684</v>
      </c>
      <c r="C25" s="7">
        <f>'PL3-PA DA'!S12-C30-C27-C26-C24</f>
        <v>508851</v>
      </c>
      <c r="D25" s="7">
        <v>508851</v>
      </c>
      <c r="E25" s="7">
        <v>0</v>
      </c>
      <c r="F25" s="35"/>
    </row>
    <row r="26" spans="1:6" s="18" customFormat="1" ht="22.5" customHeight="1" x14ac:dyDescent="0.2">
      <c r="A26" s="37"/>
      <c r="B26" s="41" t="s">
        <v>685</v>
      </c>
      <c r="C26" s="7">
        <v>49219</v>
      </c>
      <c r="D26" s="7">
        <v>49219</v>
      </c>
      <c r="E26" s="7">
        <v>0</v>
      </c>
      <c r="F26" s="35"/>
    </row>
    <row r="27" spans="1:6" s="11" customFormat="1" ht="22.5" customHeight="1" x14ac:dyDescent="0.2">
      <c r="A27" s="31" t="s">
        <v>682</v>
      </c>
      <c r="B27" s="39" t="s">
        <v>248</v>
      </c>
      <c r="C27" s="8">
        <f>C28+C29</f>
        <v>132921</v>
      </c>
      <c r="D27" s="8">
        <f>D28+D29</f>
        <v>132921</v>
      </c>
      <c r="E27" s="8">
        <v>0</v>
      </c>
      <c r="F27" s="40"/>
    </row>
    <row r="28" spans="1:6" s="18" customFormat="1" ht="22.5" customHeight="1" x14ac:dyDescent="0.2">
      <c r="A28" s="37"/>
      <c r="B28" s="41" t="s">
        <v>249</v>
      </c>
      <c r="C28" s="7">
        <f>'PL3-PA DA'!S370</f>
        <v>5216</v>
      </c>
      <c r="D28" s="7">
        <v>5216</v>
      </c>
      <c r="E28" s="7">
        <v>0</v>
      </c>
      <c r="F28" s="5"/>
    </row>
    <row r="29" spans="1:6" s="18" customFormat="1" ht="22.5" customHeight="1" x14ac:dyDescent="0.2">
      <c r="A29" s="37"/>
      <c r="B29" s="41" t="s">
        <v>271</v>
      </c>
      <c r="C29" s="7">
        <f>'PL3-PA DA'!S256</f>
        <v>127705</v>
      </c>
      <c r="D29" s="7">
        <v>127705</v>
      </c>
      <c r="E29" s="7">
        <v>0</v>
      </c>
      <c r="F29" s="5"/>
    </row>
    <row r="30" spans="1:6" s="11" customFormat="1" ht="22.5" customHeight="1" x14ac:dyDescent="0.25">
      <c r="A30" s="31">
        <v>2</v>
      </c>
      <c r="B30" s="39" t="s">
        <v>680</v>
      </c>
      <c r="C30" s="8">
        <v>85000</v>
      </c>
      <c r="D30" s="8">
        <v>85000</v>
      </c>
      <c r="E30" s="8">
        <v>0</v>
      </c>
      <c r="F30" s="30"/>
    </row>
    <row r="31" spans="1:6" ht="16.5" x14ac:dyDescent="0.25">
      <c r="A31" s="42"/>
      <c r="B31" s="43"/>
      <c r="C31" s="44"/>
      <c r="D31" s="44"/>
      <c r="E31" s="44"/>
      <c r="F31" s="45"/>
    </row>
    <row r="33" spans="2:5" s="12" customFormat="1" ht="15.75" hidden="1" x14ac:dyDescent="0.25">
      <c r="B33" s="13" t="s">
        <v>224</v>
      </c>
    </row>
    <row r="34" spans="2:5" s="12" customFormat="1" ht="63.6" hidden="1" customHeight="1" x14ac:dyDescent="0.25">
      <c r="B34" s="17" t="s">
        <v>225</v>
      </c>
      <c r="C34" s="17"/>
      <c r="D34" s="17"/>
      <c r="E34" s="17"/>
    </row>
    <row r="35" spans="2:5" hidden="1" x14ac:dyDescent="0.2"/>
    <row r="36" spans="2:5" hidden="1" x14ac:dyDescent="0.2"/>
  </sheetData>
  <mergeCells count="6">
    <mergeCell ref="C7:F7"/>
    <mergeCell ref="A1:F1"/>
    <mergeCell ref="A2:F2"/>
    <mergeCell ref="A3:F3"/>
    <mergeCell ref="A4:F4"/>
    <mergeCell ref="A5:F5"/>
  </mergeCells>
  <printOptions horizontalCentered="1"/>
  <pageMargins left="0.39370078740157483" right="0.39370078740157483" top="0.59055118110236227" bottom="0.47244094488188981" header="0.31496062992125984" footer="0.31496062992125984"/>
  <pageSetup paperSize="9" scale="79" fitToHeight="0" orientation="portrait" verticalDpi="300" r:id="rId1"/>
  <headerFooter>
    <oddHeader>&amp;R&amp;"Times New Roman,Regular"PL1:TH2024</oddHeader>
    <oddFooter>&amp;R&amp;"Times New Roman,Regular"&amp;P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CK50"/>
  <sheetViews>
    <sheetView showGridLines="0" showZeros="0" view="pageBreakPreview" topLeftCell="A6" zoomScale="55" zoomScaleNormal="70" zoomScaleSheetLayoutView="55" workbookViewId="0">
      <selection activeCell="I22" sqref="I22"/>
    </sheetView>
  </sheetViews>
  <sheetFormatPr defaultRowHeight="18.75" x14ac:dyDescent="0.2"/>
  <cols>
    <col min="1" max="1" width="5.25" style="228" customWidth="1"/>
    <col min="2" max="2" width="50.75" style="2" customWidth="1"/>
    <col min="3" max="3" width="14" style="2" customWidth="1"/>
    <col min="4" max="4" width="9.625" style="2" customWidth="1"/>
    <col min="5" max="5" width="12.75" style="2" customWidth="1"/>
    <col min="6" max="6" width="9.875" style="2" customWidth="1"/>
    <col min="7" max="7" width="11.375" style="2" customWidth="1"/>
    <col min="8" max="8" width="10.125" style="2" customWidth="1"/>
    <col min="9" max="9" width="12.375" style="2" customWidth="1"/>
    <col min="10" max="10" width="10.375" style="2" customWidth="1"/>
    <col min="11" max="11" width="11.625" style="2" hidden="1" customWidth="1"/>
    <col min="12" max="12" width="11.125" style="2" hidden="1" customWidth="1"/>
    <col min="13" max="13" width="12" style="2" customWidth="1"/>
    <col min="14" max="14" width="10.375" style="2" customWidth="1"/>
    <col min="15" max="15" width="11.375" style="228" customWidth="1"/>
    <col min="16" max="16" width="17.25" style="2" hidden="1" customWidth="1"/>
    <col min="17" max="17" width="18" style="2" hidden="1" customWidth="1"/>
    <col min="18" max="18" width="14" style="2" hidden="1" customWidth="1"/>
    <col min="19" max="19" width="13.75" style="2" hidden="1" customWidth="1"/>
    <col min="20" max="22" width="14.75" style="2" hidden="1" customWidth="1"/>
    <col min="23" max="23" width="9.125" style="2" hidden="1" customWidth="1"/>
    <col min="24" max="25" width="14.375" style="2" hidden="1" customWidth="1"/>
    <col min="26" max="26" width="16.125" style="2" hidden="1" customWidth="1"/>
    <col min="27" max="27" width="14.25" style="2" hidden="1" customWidth="1"/>
    <col min="28" max="55" width="9.125" style="2" hidden="1" customWidth="1"/>
    <col min="56" max="85" width="0" style="2" hidden="1" customWidth="1"/>
    <col min="86" max="86" width="8.75" style="2"/>
    <col min="87" max="87" width="18.125" style="2" bestFit="1" customWidth="1"/>
    <col min="88" max="88" width="8.75" style="2"/>
    <col min="89" max="89" width="12.75" style="2" bestFit="1" customWidth="1"/>
    <col min="90" max="244" width="8.75" style="2"/>
    <col min="245" max="245" width="7.75" style="2" customWidth="1"/>
    <col min="246" max="246" width="32.375" style="2" customWidth="1"/>
    <col min="247" max="247" width="14.875" style="2" customWidth="1"/>
    <col min="248" max="248" width="10.375" style="2" customWidth="1"/>
    <col min="249" max="249" width="13.25" style="2" customWidth="1"/>
    <col min="250" max="250" width="12.125" style="2" customWidth="1"/>
    <col min="251" max="251" width="13.25" style="2" customWidth="1"/>
    <col min="252" max="252" width="12" style="2" customWidth="1"/>
    <col min="253" max="253" width="13.25" style="2" customWidth="1"/>
    <col min="254" max="254" width="11.875" style="2" customWidth="1"/>
    <col min="255" max="255" width="13.75" style="2" customWidth="1"/>
    <col min="256" max="256" width="12.375" style="2" customWidth="1"/>
    <col min="257" max="257" width="13.25" style="2" customWidth="1"/>
    <col min="258" max="258" width="11" style="2" customWidth="1"/>
    <col min="259" max="259" width="7.375" style="2" customWidth="1"/>
    <col min="260" max="260" width="17.25" style="2" bestFit="1" customWidth="1"/>
    <col min="261" max="261" width="9.125" style="2" customWidth="1"/>
    <col min="262" max="500" width="8.75" style="2"/>
    <col min="501" max="501" width="7.75" style="2" customWidth="1"/>
    <col min="502" max="502" width="32.375" style="2" customWidth="1"/>
    <col min="503" max="503" width="14.875" style="2" customWidth="1"/>
    <col min="504" max="504" width="10.375" style="2" customWidth="1"/>
    <col min="505" max="505" width="13.25" style="2" customWidth="1"/>
    <col min="506" max="506" width="12.125" style="2" customWidth="1"/>
    <col min="507" max="507" width="13.25" style="2" customWidth="1"/>
    <col min="508" max="508" width="12" style="2" customWidth="1"/>
    <col min="509" max="509" width="13.25" style="2" customWidth="1"/>
    <col min="510" max="510" width="11.875" style="2" customWidth="1"/>
    <col min="511" max="511" width="13.75" style="2" customWidth="1"/>
    <col min="512" max="512" width="12.375" style="2" customWidth="1"/>
    <col min="513" max="513" width="13.25" style="2" customWidth="1"/>
    <col min="514" max="514" width="11" style="2" customWidth="1"/>
    <col min="515" max="515" width="7.375" style="2" customWidth="1"/>
    <col min="516" max="516" width="17.25" style="2" bestFit="1" customWidth="1"/>
    <col min="517" max="517" width="9.125" style="2" customWidth="1"/>
    <col min="518" max="756" width="8.75" style="2"/>
    <col min="757" max="757" width="7.75" style="2" customWidth="1"/>
    <col min="758" max="758" width="32.375" style="2" customWidth="1"/>
    <col min="759" max="759" width="14.875" style="2" customWidth="1"/>
    <col min="760" max="760" width="10.375" style="2" customWidth="1"/>
    <col min="761" max="761" width="13.25" style="2" customWidth="1"/>
    <col min="762" max="762" width="12.125" style="2" customWidth="1"/>
    <col min="763" max="763" width="13.25" style="2" customWidth="1"/>
    <col min="764" max="764" width="12" style="2" customWidth="1"/>
    <col min="765" max="765" width="13.25" style="2" customWidth="1"/>
    <col min="766" max="766" width="11.875" style="2" customWidth="1"/>
    <col min="767" max="767" width="13.75" style="2" customWidth="1"/>
    <col min="768" max="768" width="12.375" style="2" customWidth="1"/>
    <col min="769" max="769" width="13.25" style="2" customWidth="1"/>
    <col min="770" max="770" width="11" style="2" customWidth="1"/>
    <col min="771" max="771" width="7.375" style="2" customWidth="1"/>
    <col min="772" max="772" width="17.25" style="2" bestFit="1" customWidth="1"/>
    <col min="773" max="773" width="9.125" style="2" customWidth="1"/>
    <col min="774" max="1012" width="8.75" style="2"/>
    <col min="1013" max="1013" width="7.75" style="2" customWidth="1"/>
    <col min="1014" max="1014" width="32.375" style="2" customWidth="1"/>
    <col min="1015" max="1015" width="14.875" style="2" customWidth="1"/>
    <col min="1016" max="1016" width="10.375" style="2" customWidth="1"/>
    <col min="1017" max="1017" width="13.25" style="2" customWidth="1"/>
    <col min="1018" max="1018" width="12.125" style="2" customWidth="1"/>
    <col min="1019" max="1019" width="13.25" style="2" customWidth="1"/>
    <col min="1020" max="1020" width="12" style="2" customWidth="1"/>
    <col min="1021" max="1021" width="13.25" style="2" customWidth="1"/>
    <col min="1022" max="1022" width="11.875" style="2" customWidth="1"/>
    <col min="1023" max="1023" width="13.75" style="2" customWidth="1"/>
    <col min="1024" max="1024" width="12.375" style="2" customWidth="1"/>
    <col min="1025" max="1025" width="13.25" style="2" customWidth="1"/>
    <col min="1026" max="1026" width="11" style="2" customWidth="1"/>
    <col min="1027" max="1027" width="7.375" style="2" customWidth="1"/>
    <col min="1028" max="1028" width="17.25" style="2" bestFit="1" customWidth="1"/>
    <col min="1029" max="1029" width="9.125" style="2" customWidth="1"/>
    <col min="1030" max="1268" width="8.75" style="2"/>
    <col min="1269" max="1269" width="7.75" style="2" customWidth="1"/>
    <col min="1270" max="1270" width="32.375" style="2" customWidth="1"/>
    <col min="1271" max="1271" width="14.875" style="2" customWidth="1"/>
    <col min="1272" max="1272" width="10.375" style="2" customWidth="1"/>
    <col min="1273" max="1273" width="13.25" style="2" customWidth="1"/>
    <col min="1274" max="1274" width="12.125" style="2" customWidth="1"/>
    <col min="1275" max="1275" width="13.25" style="2" customWidth="1"/>
    <col min="1276" max="1276" width="12" style="2" customWidth="1"/>
    <col min="1277" max="1277" width="13.25" style="2" customWidth="1"/>
    <col min="1278" max="1278" width="11.875" style="2" customWidth="1"/>
    <col min="1279" max="1279" width="13.75" style="2" customWidth="1"/>
    <col min="1280" max="1280" width="12.375" style="2" customWidth="1"/>
    <col min="1281" max="1281" width="13.25" style="2" customWidth="1"/>
    <col min="1282" max="1282" width="11" style="2" customWidth="1"/>
    <col min="1283" max="1283" width="7.375" style="2" customWidth="1"/>
    <col min="1284" max="1284" width="17.25" style="2" bestFit="1" customWidth="1"/>
    <col min="1285" max="1285" width="9.125" style="2" customWidth="1"/>
    <col min="1286" max="1524" width="8.75" style="2"/>
    <col min="1525" max="1525" width="7.75" style="2" customWidth="1"/>
    <col min="1526" max="1526" width="32.375" style="2" customWidth="1"/>
    <col min="1527" max="1527" width="14.875" style="2" customWidth="1"/>
    <col min="1528" max="1528" width="10.375" style="2" customWidth="1"/>
    <col min="1529" max="1529" width="13.25" style="2" customWidth="1"/>
    <col min="1530" max="1530" width="12.125" style="2" customWidth="1"/>
    <col min="1531" max="1531" width="13.25" style="2" customWidth="1"/>
    <col min="1532" max="1532" width="12" style="2" customWidth="1"/>
    <col min="1533" max="1533" width="13.25" style="2" customWidth="1"/>
    <col min="1534" max="1534" width="11.875" style="2" customWidth="1"/>
    <col min="1535" max="1535" width="13.75" style="2" customWidth="1"/>
    <col min="1536" max="1536" width="12.375" style="2" customWidth="1"/>
    <col min="1537" max="1537" width="13.25" style="2" customWidth="1"/>
    <col min="1538" max="1538" width="11" style="2" customWidth="1"/>
    <col min="1539" max="1539" width="7.375" style="2" customWidth="1"/>
    <col min="1540" max="1540" width="17.25" style="2" bestFit="1" customWidth="1"/>
    <col min="1541" max="1541" width="9.125" style="2" customWidth="1"/>
    <col min="1542" max="1780" width="8.75" style="2"/>
    <col min="1781" max="1781" width="7.75" style="2" customWidth="1"/>
    <col min="1782" max="1782" width="32.375" style="2" customWidth="1"/>
    <col min="1783" max="1783" width="14.875" style="2" customWidth="1"/>
    <col min="1784" max="1784" width="10.375" style="2" customWidth="1"/>
    <col min="1785" max="1785" width="13.25" style="2" customWidth="1"/>
    <col min="1786" max="1786" width="12.125" style="2" customWidth="1"/>
    <col min="1787" max="1787" width="13.25" style="2" customWidth="1"/>
    <col min="1788" max="1788" width="12" style="2" customWidth="1"/>
    <col min="1789" max="1789" width="13.25" style="2" customWidth="1"/>
    <col min="1790" max="1790" width="11.875" style="2" customWidth="1"/>
    <col min="1791" max="1791" width="13.75" style="2" customWidth="1"/>
    <col min="1792" max="1792" width="12.375" style="2" customWidth="1"/>
    <col min="1793" max="1793" width="13.25" style="2" customWidth="1"/>
    <col min="1794" max="1794" width="11" style="2" customWidth="1"/>
    <col min="1795" max="1795" width="7.375" style="2" customWidth="1"/>
    <col min="1796" max="1796" width="17.25" style="2" bestFit="1" customWidth="1"/>
    <col min="1797" max="1797" width="9.125" style="2" customWidth="1"/>
    <col min="1798" max="2036" width="8.75" style="2"/>
    <col min="2037" max="2037" width="7.75" style="2" customWidth="1"/>
    <col min="2038" max="2038" width="32.375" style="2" customWidth="1"/>
    <col min="2039" max="2039" width="14.875" style="2" customWidth="1"/>
    <col min="2040" max="2040" width="10.375" style="2" customWidth="1"/>
    <col min="2041" max="2041" width="13.25" style="2" customWidth="1"/>
    <col min="2042" max="2042" width="12.125" style="2" customWidth="1"/>
    <col min="2043" max="2043" width="13.25" style="2" customWidth="1"/>
    <col min="2044" max="2044" width="12" style="2" customWidth="1"/>
    <col min="2045" max="2045" width="13.25" style="2" customWidth="1"/>
    <col min="2046" max="2046" width="11.875" style="2" customWidth="1"/>
    <col min="2047" max="2047" width="13.75" style="2" customWidth="1"/>
    <col min="2048" max="2048" width="12.375" style="2" customWidth="1"/>
    <col min="2049" max="2049" width="13.25" style="2" customWidth="1"/>
    <col min="2050" max="2050" width="11" style="2" customWidth="1"/>
    <col min="2051" max="2051" width="7.375" style="2" customWidth="1"/>
    <col min="2052" max="2052" width="17.25" style="2" bestFit="1" customWidth="1"/>
    <col min="2053" max="2053" width="9.125" style="2" customWidth="1"/>
    <col min="2054" max="2292" width="8.75" style="2"/>
    <col min="2293" max="2293" width="7.75" style="2" customWidth="1"/>
    <col min="2294" max="2294" width="32.375" style="2" customWidth="1"/>
    <col min="2295" max="2295" width="14.875" style="2" customWidth="1"/>
    <col min="2296" max="2296" width="10.375" style="2" customWidth="1"/>
    <col min="2297" max="2297" width="13.25" style="2" customWidth="1"/>
    <col min="2298" max="2298" width="12.125" style="2" customWidth="1"/>
    <col min="2299" max="2299" width="13.25" style="2" customWidth="1"/>
    <col min="2300" max="2300" width="12" style="2" customWidth="1"/>
    <col min="2301" max="2301" width="13.25" style="2" customWidth="1"/>
    <col min="2302" max="2302" width="11.875" style="2" customWidth="1"/>
    <col min="2303" max="2303" width="13.75" style="2" customWidth="1"/>
    <col min="2304" max="2304" width="12.375" style="2" customWidth="1"/>
    <col min="2305" max="2305" width="13.25" style="2" customWidth="1"/>
    <col min="2306" max="2306" width="11" style="2" customWidth="1"/>
    <col min="2307" max="2307" width="7.375" style="2" customWidth="1"/>
    <col min="2308" max="2308" width="17.25" style="2" bestFit="1" customWidth="1"/>
    <col min="2309" max="2309" width="9.125" style="2" customWidth="1"/>
    <col min="2310" max="2548" width="8.75" style="2"/>
    <col min="2549" max="2549" width="7.75" style="2" customWidth="1"/>
    <col min="2550" max="2550" width="32.375" style="2" customWidth="1"/>
    <col min="2551" max="2551" width="14.875" style="2" customWidth="1"/>
    <col min="2552" max="2552" width="10.375" style="2" customWidth="1"/>
    <col min="2553" max="2553" width="13.25" style="2" customWidth="1"/>
    <col min="2554" max="2554" width="12.125" style="2" customWidth="1"/>
    <col min="2555" max="2555" width="13.25" style="2" customWidth="1"/>
    <col min="2556" max="2556" width="12" style="2" customWidth="1"/>
    <col min="2557" max="2557" width="13.25" style="2" customWidth="1"/>
    <col min="2558" max="2558" width="11.875" style="2" customWidth="1"/>
    <col min="2559" max="2559" width="13.75" style="2" customWidth="1"/>
    <col min="2560" max="2560" width="12.375" style="2" customWidth="1"/>
    <col min="2561" max="2561" width="13.25" style="2" customWidth="1"/>
    <col min="2562" max="2562" width="11" style="2" customWidth="1"/>
    <col min="2563" max="2563" width="7.375" style="2" customWidth="1"/>
    <col min="2564" max="2564" width="17.25" style="2" bestFit="1" customWidth="1"/>
    <col min="2565" max="2565" width="9.125" style="2" customWidth="1"/>
    <col min="2566" max="2804" width="8.75" style="2"/>
    <col min="2805" max="2805" width="7.75" style="2" customWidth="1"/>
    <col min="2806" max="2806" width="32.375" style="2" customWidth="1"/>
    <col min="2807" max="2807" width="14.875" style="2" customWidth="1"/>
    <col min="2808" max="2808" width="10.375" style="2" customWidth="1"/>
    <col min="2809" max="2809" width="13.25" style="2" customWidth="1"/>
    <col min="2810" max="2810" width="12.125" style="2" customWidth="1"/>
    <col min="2811" max="2811" width="13.25" style="2" customWidth="1"/>
    <col min="2812" max="2812" width="12" style="2" customWidth="1"/>
    <col min="2813" max="2813" width="13.25" style="2" customWidth="1"/>
    <col min="2814" max="2814" width="11.875" style="2" customWidth="1"/>
    <col min="2815" max="2815" width="13.75" style="2" customWidth="1"/>
    <col min="2816" max="2816" width="12.375" style="2" customWidth="1"/>
    <col min="2817" max="2817" width="13.25" style="2" customWidth="1"/>
    <col min="2818" max="2818" width="11" style="2" customWidth="1"/>
    <col min="2819" max="2819" width="7.375" style="2" customWidth="1"/>
    <col min="2820" max="2820" width="17.25" style="2" bestFit="1" customWidth="1"/>
    <col min="2821" max="2821" width="9.125" style="2" customWidth="1"/>
    <col min="2822" max="3060" width="8.75" style="2"/>
    <col min="3061" max="3061" width="7.75" style="2" customWidth="1"/>
    <col min="3062" max="3062" width="32.375" style="2" customWidth="1"/>
    <col min="3063" max="3063" width="14.875" style="2" customWidth="1"/>
    <col min="3064" max="3064" width="10.375" style="2" customWidth="1"/>
    <col min="3065" max="3065" width="13.25" style="2" customWidth="1"/>
    <col min="3066" max="3066" width="12.125" style="2" customWidth="1"/>
    <col min="3067" max="3067" width="13.25" style="2" customWidth="1"/>
    <col min="3068" max="3068" width="12" style="2" customWidth="1"/>
    <col min="3069" max="3069" width="13.25" style="2" customWidth="1"/>
    <col min="3070" max="3070" width="11.875" style="2" customWidth="1"/>
    <col min="3071" max="3071" width="13.75" style="2" customWidth="1"/>
    <col min="3072" max="3072" width="12.375" style="2" customWidth="1"/>
    <col min="3073" max="3073" width="13.25" style="2" customWidth="1"/>
    <col min="3074" max="3074" width="11" style="2" customWidth="1"/>
    <col min="3075" max="3075" width="7.375" style="2" customWidth="1"/>
    <col min="3076" max="3076" width="17.25" style="2" bestFit="1" customWidth="1"/>
    <col min="3077" max="3077" width="9.125" style="2" customWidth="1"/>
    <col min="3078" max="3316" width="8.75" style="2"/>
    <col min="3317" max="3317" width="7.75" style="2" customWidth="1"/>
    <col min="3318" max="3318" width="32.375" style="2" customWidth="1"/>
    <col min="3319" max="3319" width="14.875" style="2" customWidth="1"/>
    <col min="3320" max="3320" width="10.375" style="2" customWidth="1"/>
    <col min="3321" max="3321" width="13.25" style="2" customWidth="1"/>
    <col min="3322" max="3322" width="12.125" style="2" customWidth="1"/>
    <col min="3323" max="3323" width="13.25" style="2" customWidth="1"/>
    <col min="3324" max="3324" width="12" style="2" customWidth="1"/>
    <col min="3325" max="3325" width="13.25" style="2" customWidth="1"/>
    <col min="3326" max="3326" width="11.875" style="2" customWidth="1"/>
    <col min="3327" max="3327" width="13.75" style="2" customWidth="1"/>
    <col min="3328" max="3328" width="12.375" style="2" customWidth="1"/>
    <col min="3329" max="3329" width="13.25" style="2" customWidth="1"/>
    <col min="3330" max="3330" width="11" style="2" customWidth="1"/>
    <col min="3331" max="3331" width="7.375" style="2" customWidth="1"/>
    <col min="3332" max="3332" width="17.25" style="2" bestFit="1" customWidth="1"/>
    <col min="3333" max="3333" width="9.125" style="2" customWidth="1"/>
    <col min="3334" max="3572" width="8.75" style="2"/>
    <col min="3573" max="3573" width="7.75" style="2" customWidth="1"/>
    <col min="3574" max="3574" width="32.375" style="2" customWidth="1"/>
    <col min="3575" max="3575" width="14.875" style="2" customWidth="1"/>
    <col min="3576" max="3576" width="10.375" style="2" customWidth="1"/>
    <col min="3577" max="3577" width="13.25" style="2" customWidth="1"/>
    <col min="3578" max="3578" width="12.125" style="2" customWidth="1"/>
    <col min="3579" max="3579" width="13.25" style="2" customWidth="1"/>
    <col min="3580" max="3580" width="12" style="2" customWidth="1"/>
    <col min="3581" max="3581" width="13.25" style="2" customWidth="1"/>
    <col min="3582" max="3582" width="11.875" style="2" customWidth="1"/>
    <col min="3583" max="3583" width="13.75" style="2" customWidth="1"/>
    <col min="3584" max="3584" width="12.375" style="2" customWidth="1"/>
    <col min="3585" max="3585" width="13.25" style="2" customWidth="1"/>
    <col min="3586" max="3586" width="11" style="2" customWidth="1"/>
    <col min="3587" max="3587" width="7.375" style="2" customWidth="1"/>
    <col min="3588" max="3588" width="17.25" style="2" bestFit="1" customWidth="1"/>
    <col min="3589" max="3589" width="9.125" style="2" customWidth="1"/>
    <col min="3590" max="3828" width="8.75" style="2"/>
    <col min="3829" max="3829" width="7.75" style="2" customWidth="1"/>
    <col min="3830" max="3830" width="32.375" style="2" customWidth="1"/>
    <col min="3831" max="3831" width="14.875" style="2" customWidth="1"/>
    <col min="3832" max="3832" width="10.375" style="2" customWidth="1"/>
    <col min="3833" max="3833" width="13.25" style="2" customWidth="1"/>
    <col min="3834" max="3834" width="12.125" style="2" customWidth="1"/>
    <col min="3835" max="3835" width="13.25" style="2" customWidth="1"/>
    <col min="3836" max="3836" width="12" style="2" customWidth="1"/>
    <col min="3837" max="3837" width="13.25" style="2" customWidth="1"/>
    <col min="3838" max="3838" width="11.875" style="2" customWidth="1"/>
    <col min="3839" max="3839" width="13.75" style="2" customWidth="1"/>
    <col min="3840" max="3840" width="12.375" style="2" customWidth="1"/>
    <col min="3841" max="3841" width="13.25" style="2" customWidth="1"/>
    <col min="3842" max="3842" width="11" style="2" customWidth="1"/>
    <col min="3843" max="3843" width="7.375" style="2" customWidth="1"/>
    <col min="3844" max="3844" width="17.25" style="2" bestFit="1" customWidth="1"/>
    <col min="3845" max="3845" width="9.125" style="2" customWidth="1"/>
    <col min="3846" max="4084" width="8.75" style="2"/>
    <col min="4085" max="4085" width="7.75" style="2" customWidth="1"/>
    <col min="4086" max="4086" width="32.375" style="2" customWidth="1"/>
    <col min="4087" max="4087" width="14.875" style="2" customWidth="1"/>
    <col min="4088" max="4088" width="10.375" style="2" customWidth="1"/>
    <col min="4089" max="4089" width="13.25" style="2" customWidth="1"/>
    <col min="4090" max="4090" width="12.125" style="2" customWidth="1"/>
    <col min="4091" max="4091" width="13.25" style="2" customWidth="1"/>
    <col min="4092" max="4092" width="12" style="2" customWidth="1"/>
    <col min="4093" max="4093" width="13.25" style="2" customWidth="1"/>
    <col min="4094" max="4094" width="11.875" style="2" customWidth="1"/>
    <col min="4095" max="4095" width="13.75" style="2" customWidth="1"/>
    <col min="4096" max="4096" width="12.375" style="2" customWidth="1"/>
    <col min="4097" max="4097" width="13.25" style="2" customWidth="1"/>
    <col min="4098" max="4098" width="11" style="2" customWidth="1"/>
    <col min="4099" max="4099" width="7.375" style="2" customWidth="1"/>
    <col min="4100" max="4100" width="17.25" style="2" bestFit="1" customWidth="1"/>
    <col min="4101" max="4101" width="9.125" style="2" customWidth="1"/>
    <col min="4102" max="4340" width="8.75" style="2"/>
    <col min="4341" max="4341" width="7.75" style="2" customWidth="1"/>
    <col min="4342" max="4342" width="32.375" style="2" customWidth="1"/>
    <col min="4343" max="4343" width="14.875" style="2" customWidth="1"/>
    <col min="4344" max="4344" width="10.375" style="2" customWidth="1"/>
    <col min="4345" max="4345" width="13.25" style="2" customWidth="1"/>
    <col min="4346" max="4346" width="12.125" style="2" customWidth="1"/>
    <col min="4347" max="4347" width="13.25" style="2" customWidth="1"/>
    <col min="4348" max="4348" width="12" style="2" customWidth="1"/>
    <col min="4349" max="4349" width="13.25" style="2" customWidth="1"/>
    <col min="4350" max="4350" width="11.875" style="2" customWidth="1"/>
    <col min="4351" max="4351" width="13.75" style="2" customWidth="1"/>
    <col min="4352" max="4352" width="12.375" style="2" customWidth="1"/>
    <col min="4353" max="4353" width="13.25" style="2" customWidth="1"/>
    <col min="4354" max="4354" width="11" style="2" customWidth="1"/>
    <col min="4355" max="4355" width="7.375" style="2" customWidth="1"/>
    <col min="4356" max="4356" width="17.25" style="2" bestFit="1" customWidth="1"/>
    <col min="4357" max="4357" width="9.125" style="2" customWidth="1"/>
    <col min="4358" max="4596" width="8.75" style="2"/>
    <col min="4597" max="4597" width="7.75" style="2" customWidth="1"/>
    <col min="4598" max="4598" width="32.375" style="2" customWidth="1"/>
    <col min="4599" max="4599" width="14.875" style="2" customWidth="1"/>
    <col min="4600" max="4600" width="10.375" style="2" customWidth="1"/>
    <col min="4601" max="4601" width="13.25" style="2" customWidth="1"/>
    <col min="4602" max="4602" width="12.125" style="2" customWidth="1"/>
    <col min="4603" max="4603" width="13.25" style="2" customWidth="1"/>
    <col min="4604" max="4604" width="12" style="2" customWidth="1"/>
    <col min="4605" max="4605" width="13.25" style="2" customWidth="1"/>
    <col min="4606" max="4606" width="11.875" style="2" customWidth="1"/>
    <col min="4607" max="4607" width="13.75" style="2" customWidth="1"/>
    <col min="4608" max="4608" width="12.375" style="2" customWidth="1"/>
    <col min="4609" max="4609" width="13.25" style="2" customWidth="1"/>
    <col min="4610" max="4610" width="11" style="2" customWidth="1"/>
    <col min="4611" max="4611" width="7.375" style="2" customWidth="1"/>
    <col min="4612" max="4612" width="17.25" style="2" bestFit="1" customWidth="1"/>
    <col min="4613" max="4613" width="9.125" style="2" customWidth="1"/>
    <col min="4614" max="4852" width="8.75" style="2"/>
    <col min="4853" max="4853" width="7.75" style="2" customWidth="1"/>
    <col min="4854" max="4854" width="32.375" style="2" customWidth="1"/>
    <col min="4855" max="4855" width="14.875" style="2" customWidth="1"/>
    <col min="4856" max="4856" width="10.375" style="2" customWidth="1"/>
    <col min="4857" max="4857" width="13.25" style="2" customWidth="1"/>
    <col min="4858" max="4858" width="12.125" style="2" customWidth="1"/>
    <col min="4859" max="4859" width="13.25" style="2" customWidth="1"/>
    <col min="4860" max="4860" width="12" style="2" customWidth="1"/>
    <col min="4861" max="4861" width="13.25" style="2" customWidth="1"/>
    <col min="4862" max="4862" width="11.875" style="2" customWidth="1"/>
    <col min="4863" max="4863" width="13.75" style="2" customWidth="1"/>
    <col min="4864" max="4864" width="12.375" style="2" customWidth="1"/>
    <col min="4865" max="4865" width="13.25" style="2" customWidth="1"/>
    <col min="4866" max="4866" width="11" style="2" customWidth="1"/>
    <col min="4867" max="4867" width="7.375" style="2" customWidth="1"/>
    <col min="4868" max="4868" width="17.25" style="2" bestFit="1" customWidth="1"/>
    <col min="4869" max="4869" width="9.125" style="2" customWidth="1"/>
    <col min="4870" max="5108" width="8.75" style="2"/>
    <col min="5109" max="5109" width="7.75" style="2" customWidth="1"/>
    <col min="5110" max="5110" width="32.375" style="2" customWidth="1"/>
    <col min="5111" max="5111" width="14.875" style="2" customWidth="1"/>
    <col min="5112" max="5112" width="10.375" style="2" customWidth="1"/>
    <col min="5113" max="5113" width="13.25" style="2" customWidth="1"/>
    <col min="5114" max="5114" width="12.125" style="2" customWidth="1"/>
    <col min="5115" max="5115" width="13.25" style="2" customWidth="1"/>
    <col min="5116" max="5116" width="12" style="2" customWidth="1"/>
    <col min="5117" max="5117" width="13.25" style="2" customWidth="1"/>
    <col min="5118" max="5118" width="11.875" style="2" customWidth="1"/>
    <col min="5119" max="5119" width="13.75" style="2" customWidth="1"/>
    <col min="5120" max="5120" width="12.375" style="2" customWidth="1"/>
    <col min="5121" max="5121" width="13.25" style="2" customWidth="1"/>
    <col min="5122" max="5122" width="11" style="2" customWidth="1"/>
    <col min="5123" max="5123" width="7.375" style="2" customWidth="1"/>
    <col min="5124" max="5124" width="17.25" style="2" bestFit="1" customWidth="1"/>
    <col min="5125" max="5125" width="9.125" style="2" customWidth="1"/>
    <col min="5126" max="5364" width="8.75" style="2"/>
    <col min="5365" max="5365" width="7.75" style="2" customWidth="1"/>
    <col min="5366" max="5366" width="32.375" style="2" customWidth="1"/>
    <col min="5367" max="5367" width="14.875" style="2" customWidth="1"/>
    <col min="5368" max="5368" width="10.375" style="2" customWidth="1"/>
    <col min="5369" max="5369" width="13.25" style="2" customWidth="1"/>
    <col min="5370" max="5370" width="12.125" style="2" customWidth="1"/>
    <col min="5371" max="5371" width="13.25" style="2" customWidth="1"/>
    <col min="5372" max="5372" width="12" style="2" customWidth="1"/>
    <col min="5373" max="5373" width="13.25" style="2" customWidth="1"/>
    <col min="5374" max="5374" width="11.875" style="2" customWidth="1"/>
    <col min="5375" max="5375" width="13.75" style="2" customWidth="1"/>
    <col min="5376" max="5376" width="12.375" style="2" customWidth="1"/>
    <col min="5377" max="5377" width="13.25" style="2" customWidth="1"/>
    <col min="5378" max="5378" width="11" style="2" customWidth="1"/>
    <col min="5379" max="5379" width="7.375" style="2" customWidth="1"/>
    <col min="5380" max="5380" width="17.25" style="2" bestFit="1" customWidth="1"/>
    <col min="5381" max="5381" width="9.125" style="2" customWidth="1"/>
    <col min="5382" max="5620" width="8.75" style="2"/>
    <col min="5621" max="5621" width="7.75" style="2" customWidth="1"/>
    <col min="5622" max="5622" width="32.375" style="2" customWidth="1"/>
    <col min="5623" max="5623" width="14.875" style="2" customWidth="1"/>
    <col min="5624" max="5624" width="10.375" style="2" customWidth="1"/>
    <col min="5625" max="5625" width="13.25" style="2" customWidth="1"/>
    <col min="5626" max="5626" width="12.125" style="2" customWidth="1"/>
    <col min="5627" max="5627" width="13.25" style="2" customWidth="1"/>
    <col min="5628" max="5628" width="12" style="2" customWidth="1"/>
    <col min="5629" max="5629" width="13.25" style="2" customWidth="1"/>
    <col min="5630" max="5630" width="11.875" style="2" customWidth="1"/>
    <col min="5631" max="5631" width="13.75" style="2" customWidth="1"/>
    <col min="5632" max="5632" width="12.375" style="2" customWidth="1"/>
    <col min="5633" max="5633" width="13.25" style="2" customWidth="1"/>
    <col min="5634" max="5634" width="11" style="2" customWidth="1"/>
    <col min="5635" max="5635" width="7.375" style="2" customWidth="1"/>
    <col min="5636" max="5636" width="17.25" style="2" bestFit="1" customWidth="1"/>
    <col min="5637" max="5637" width="9.125" style="2" customWidth="1"/>
    <col min="5638" max="5876" width="8.75" style="2"/>
    <col min="5877" max="5877" width="7.75" style="2" customWidth="1"/>
    <col min="5878" max="5878" width="32.375" style="2" customWidth="1"/>
    <col min="5879" max="5879" width="14.875" style="2" customWidth="1"/>
    <col min="5880" max="5880" width="10.375" style="2" customWidth="1"/>
    <col min="5881" max="5881" width="13.25" style="2" customWidth="1"/>
    <col min="5882" max="5882" width="12.125" style="2" customWidth="1"/>
    <col min="5883" max="5883" width="13.25" style="2" customWidth="1"/>
    <col min="5884" max="5884" width="12" style="2" customWidth="1"/>
    <col min="5885" max="5885" width="13.25" style="2" customWidth="1"/>
    <col min="5886" max="5886" width="11.875" style="2" customWidth="1"/>
    <col min="5887" max="5887" width="13.75" style="2" customWidth="1"/>
    <col min="5888" max="5888" width="12.375" style="2" customWidth="1"/>
    <col min="5889" max="5889" width="13.25" style="2" customWidth="1"/>
    <col min="5890" max="5890" width="11" style="2" customWidth="1"/>
    <col min="5891" max="5891" width="7.375" style="2" customWidth="1"/>
    <col min="5892" max="5892" width="17.25" style="2" bestFit="1" customWidth="1"/>
    <col min="5893" max="5893" width="9.125" style="2" customWidth="1"/>
    <col min="5894" max="6132" width="8.75" style="2"/>
    <col min="6133" max="6133" width="7.75" style="2" customWidth="1"/>
    <col min="6134" max="6134" width="32.375" style="2" customWidth="1"/>
    <col min="6135" max="6135" width="14.875" style="2" customWidth="1"/>
    <col min="6136" max="6136" width="10.375" style="2" customWidth="1"/>
    <col min="6137" max="6137" width="13.25" style="2" customWidth="1"/>
    <col min="6138" max="6138" width="12.125" style="2" customWidth="1"/>
    <col min="6139" max="6139" width="13.25" style="2" customWidth="1"/>
    <col min="6140" max="6140" width="12" style="2" customWidth="1"/>
    <col min="6141" max="6141" width="13.25" style="2" customWidth="1"/>
    <col min="6142" max="6142" width="11.875" style="2" customWidth="1"/>
    <col min="6143" max="6143" width="13.75" style="2" customWidth="1"/>
    <col min="6144" max="6144" width="12.375" style="2" customWidth="1"/>
    <col min="6145" max="6145" width="13.25" style="2" customWidth="1"/>
    <col min="6146" max="6146" width="11" style="2" customWidth="1"/>
    <col min="6147" max="6147" width="7.375" style="2" customWidth="1"/>
    <col min="6148" max="6148" width="17.25" style="2" bestFit="1" customWidth="1"/>
    <col min="6149" max="6149" width="9.125" style="2" customWidth="1"/>
    <col min="6150" max="6388" width="8.75" style="2"/>
    <col min="6389" max="6389" width="7.75" style="2" customWidth="1"/>
    <col min="6390" max="6390" width="32.375" style="2" customWidth="1"/>
    <col min="6391" max="6391" width="14.875" style="2" customWidth="1"/>
    <col min="6392" max="6392" width="10.375" style="2" customWidth="1"/>
    <col min="6393" max="6393" width="13.25" style="2" customWidth="1"/>
    <col min="6394" max="6394" width="12.125" style="2" customWidth="1"/>
    <col min="6395" max="6395" width="13.25" style="2" customWidth="1"/>
    <col min="6396" max="6396" width="12" style="2" customWidth="1"/>
    <col min="6397" max="6397" width="13.25" style="2" customWidth="1"/>
    <col min="6398" max="6398" width="11.875" style="2" customWidth="1"/>
    <col min="6399" max="6399" width="13.75" style="2" customWidth="1"/>
    <col min="6400" max="6400" width="12.375" style="2" customWidth="1"/>
    <col min="6401" max="6401" width="13.25" style="2" customWidth="1"/>
    <col min="6402" max="6402" width="11" style="2" customWidth="1"/>
    <col min="6403" max="6403" width="7.375" style="2" customWidth="1"/>
    <col min="6404" max="6404" width="17.25" style="2" bestFit="1" customWidth="1"/>
    <col min="6405" max="6405" width="9.125" style="2" customWidth="1"/>
    <col min="6406" max="6644" width="8.75" style="2"/>
    <col min="6645" max="6645" width="7.75" style="2" customWidth="1"/>
    <col min="6646" max="6646" width="32.375" style="2" customWidth="1"/>
    <col min="6647" max="6647" width="14.875" style="2" customWidth="1"/>
    <col min="6648" max="6648" width="10.375" style="2" customWidth="1"/>
    <col min="6649" max="6649" width="13.25" style="2" customWidth="1"/>
    <col min="6650" max="6650" width="12.125" style="2" customWidth="1"/>
    <col min="6651" max="6651" width="13.25" style="2" customWidth="1"/>
    <col min="6652" max="6652" width="12" style="2" customWidth="1"/>
    <col min="6653" max="6653" width="13.25" style="2" customWidth="1"/>
    <col min="6654" max="6654" width="11.875" style="2" customWidth="1"/>
    <col min="6655" max="6655" width="13.75" style="2" customWidth="1"/>
    <col min="6656" max="6656" width="12.375" style="2" customWidth="1"/>
    <col min="6657" max="6657" width="13.25" style="2" customWidth="1"/>
    <col min="6658" max="6658" width="11" style="2" customWidth="1"/>
    <col min="6659" max="6659" width="7.375" style="2" customWidth="1"/>
    <col min="6660" max="6660" width="17.25" style="2" bestFit="1" customWidth="1"/>
    <col min="6661" max="6661" width="9.125" style="2" customWidth="1"/>
    <col min="6662" max="6900" width="8.75" style="2"/>
    <col min="6901" max="6901" width="7.75" style="2" customWidth="1"/>
    <col min="6902" max="6902" width="32.375" style="2" customWidth="1"/>
    <col min="6903" max="6903" width="14.875" style="2" customWidth="1"/>
    <col min="6904" max="6904" width="10.375" style="2" customWidth="1"/>
    <col min="6905" max="6905" width="13.25" style="2" customWidth="1"/>
    <col min="6906" max="6906" width="12.125" style="2" customWidth="1"/>
    <col min="6907" max="6907" width="13.25" style="2" customWidth="1"/>
    <col min="6908" max="6908" width="12" style="2" customWidth="1"/>
    <col min="6909" max="6909" width="13.25" style="2" customWidth="1"/>
    <col min="6910" max="6910" width="11.875" style="2" customWidth="1"/>
    <col min="6911" max="6911" width="13.75" style="2" customWidth="1"/>
    <col min="6912" max="6912" width="12.375" style="2" customWidth="1"/>
    <col min="6913" max="6913" width="13.25" style="2" customWidth="1"/>
    <col min="6914" max="6914" width="11" style="2" customWidth="1"/>
    <col min="6915" max="6915" width="7.375" style="2" customWidth="1"/>
    <col min="6916" max="6916" width="17.25" style="2" bestFit="1" customWidth="1"/>
    <col min="6917" max="6917" width="9.125" style="2" customWidth="1"/>
    <col min="6918" max="7156" width="8.75" style="2"/>
    <col min="7157" max="7157" width="7.75" style="2" customWidth="1"/>
    <col min="7158" max="7158" width="32.375" style="2" customWidth="1"/>
    <col min="7159" max="7159" width="14.875" style="2" customWidth="1"/>
    <col min="7160" max="7160" width="10.375" style="2" customWidth="1"/>
    <col min="7161" max="7161" width="13.25" style="2" customWidth="1"/>
    <col min="7162" max="7162" width="12.125" style="2" customWidth="1"/>
    <col min="7163" max="7163" width="13.25" style="2" customWidth="1"/>
    <col min="7164" max="7164" width="12" style="2" customWidth="1"/>
    <col min="7165" max="7165" width="13.25" style="2" customWidth="1"/>
    <col min="7166" max="7166" width="11.875" style="2" customWidth="1"/>
    <col min="7167" max="7167" width="13.75" style="2" customWidth="1"/>
    <col min="7168" max="7168" width="12.375" style="2" customWidth="1"/>
    <col min="7169" max="7169" width="13.25" style="2" customWidth="1"/>
    <col min="7170" max="7170" width="11" style="2" customWidth="1"/>
    <col min="7171" max="7171" width="7.375" style="2" customWidth="1"/>
    <col min="7172" max="7172" width="17.25" style="2" bestFit="1" customWidth="1"/>
    <col min="7173" max="7173" width="9.125" style="2" customWidth="1"/>
    <col min="7174" max="7412" width="8.75" style="2"/>
    <col min="7413" max="7413" width="7.75" style="2" customWidth="1"/>
    <col min="7414" max="7414" width="32.375" style="2" customWidth="1"/>
    <col min="7415" max="7415" width="14.875" style="2" customWidth="1"/>
    <col min="7416" max="7416" width="10.375" style="2" customWidth="1"/>
    <col min="7417" max="7417" width="13.25" style="2" customWidth="1"/>
    <col min="7418" max="7418" width="12.125" style="2" customWidth="1"/>
    <col min="7419" max="7419" width="13.25" style="2" customWidth="1"/>
    <col min="7420" max="7420" width="12" style="2" customWidth="1"/>
    <col min="7421" max="7421" width="13.25" style="2" customWidth="1"/>
    <col min="7422" max="7422" width="11.875" style="2" customWidth="1"/>
    <col min="7423" max="7423" width="13.75" style="2" customWidth="1"/>
    <col min="7424" max="7424" width="12.375" style="2" customWidth="1"/>
    <col min="7425" max="7425" width="13.25" style="2" customWidth="1"/>
    <col min="7426" max="7426" width="11" style="2" customWidth="1"/>
    <col min="7427" max="7427" width="7.375" style="2" customWidth="1"/>
    <col min="7428" max="7428" width="17.25" style="2" bestFit="1" customWidth="1"/>
    <col min="7429" max="7429" width="9.125" style="2" customWidth="1"/>
    <col min="7430" max="7668" width="8.75" style="2"/>
    <col min="7669" max="7669" width="7.75" style="2" customWidth="1"/>
    <col min="7670" max="7670" width="32.375" style="2" customWidth="1"/>
    <col min="7671" max="7671" width="14.875" style="2" customWidth="1"/>
    <col min="7672" max="7672" width="10.375" style="2" customWidth="1"/>
    <col min="7673" max="7673" width="13.25" style="2" customWidth="1"/>
    <col min="7674" max="7674" width="12.125" style="2" customWidth="1"/>
    <col min="7675" max="7675" width="13.25" style="2" customWidth="1"/>
    <col min="7676" max="7676" width="12" style="2" customWidth="1"/>
    <col min="7677" max="7677" width="13.25" style="2" customWidth="1"/>
    <col min="7678" max="7678" width="11.875" style="2" customWidth="1"/>
    <col min="7679" max="7679" width="13.75" style="2" customWidth="1"/>
    <col min="7680" max="7680" width="12.375" style="2" customWidth="1"/>
    <col min="7681" max="7681" width="13.25" style="2" customWidth="1"/>
    <col min="7682" max="7682" width="11" style="2" customWidth="1"/>
    <col min="7683" max="7683" width="7.375" style="2" customWidth="1"/>
    <col min="7684" max="7684" width="17.25" style="2" bestFit="1" customWidth="1"/>
    <col min="7685" max="7685" width="9.125" style="2" customWidth="1"/>
    <col min="7686" max="7924" width="8.75" style="2"/>
    <col min="7925" max="7925" width="7.75" style="2" customWidth="1"/>
    <col min="7926" max="7926" width="32.375" style="2" customWidth="1"/>
    <col min="7927" max="7927" width="14.875" style="2" customWidth="1"/>
    <col min="7928" max="7928" width="10.375" style="2" customWidth="1"/>
    <col min="7929" max="7929" width="13.25" style="2" customWidth="1"/>
    <col min="7930" max="7930" width="12.125" style="2" customWidth="1"/>
    <col min="7931" max="7931" width="13.25" style="2" customWidth="1"/>
    <col min="7932" max="7932" width="12" style="2" customWidth="1"/>
    <col min="7933" max="7933" width="13.25" style="2" customWidth="1"/>
    <col min="7934" max="7934" width="11.875" style="2" customWidth="1"/>
    <col min="7935" max="7935" width="13.75" style="2" customWidth="1"/>
    <col min="7936" max="7936" width="12.375" style="2" customWidth="1"/>
    <col min="7937" max="7937" width="13.25" style="2" customWidth="1"/>
    <col min="7938" max="7938" width="11" style="2" customWidth="1"/>
    <col min="7939" max="7939" width="7.375" style="2" customWidth="1"/>
    <col min="7940" max="7940" width="17.25" style="2" bestFit="1" customWidth="1"/>
    <col min="7941" max="7941" width="9.125" style="2" customWidth="1"/>
    <col min="7942" max="8180" width="8.75" style="2"/>
    <col min="8181" max="8181" width="7.75" style="2" customWidth="1"/>
    <col min="8182" max="8182" width="32.375" style="2" customWidth="1"/>
    <col min="8183" max="8183" width="14.875" style="2" customWidth="1"/>
    <col min="8184" max="8184" width="10.375" style="2" customWidth="1"/>
    <col min="8185" max="8185" width="13.25" style="2" customWidth="1"/>
    <col min="8186" max="8186" width="12.125" style="2" customWidth="1"/>
    <col min="8187" max="8187" width="13.25" style="2" customWidth="1"/>
    <col min="8188" max="8188" width="12" style="2" customWidth="1"/>
    <col min="8189" max="8189" width="13.25" style="2" customWidth="1"/>
    <col min="8190" max="8190" width="11.875" style="2" customWidth="1"/>
    <col min="8191" max="8191" width="13.75" style="2" customWidth="1"/>
    <col min="8192" max="8192" width="12.375" style="2" customWidth="1"/>
    <col min="8193" max="8193" width="13.25" style="2" customWidth="1"/>
    <col min="8194" max="8194" width="11" style="2" customWidth="1"/>
    <col min="8195" max="8195" width="7.375" style="2" customWidth="1"/>
    <col min="8196" max="8196" width="17.25" style="2" bestFit="1" customWidth="1"/>
    <col min="8197" max="8197" width="9.125" style="2" customWidth="1"/>
    <col min="8198" max="8436" width="8.75" style="2"/>
    <col min="8437" max="8437" width="7.75" style="2" customWidth="1"/>
    <col min="8438" max="8438" width="32.375" style="2" customWidth="1"/>
    <col min="8439" max="8439" width="14.875" style="2" customWidth="1"/>
    <col min="8440" max="8440" width="10.375" style="2" customWidth="1"/>
    <col min="8441" max="8441" width="13.25" style="2" customWidth="1"/>
    <col min="8442" max="8442" width="12.125" style="2" customWidth="1"/>
    <col min="8443" max="8443" width="13.25" style="2" customWidth="1"/>
    <col min="8444" max="8444" width="12" style="2" customWidth="1"/>
    <col min="8445" max="8445" width="13.25" style="2" customWidth="1"/>
    <col min="8446" max="8446" width="11.875" style="2" customWidth="1"/>
    <col min="8447" max="8447" width="13.75" style="2" customWidth="1"/>
    <col min="8448" max="8448" width="12.375" style="2" customWidth="1"/>
    <col min="8449" max="8449" width="13.25" style="2" customWidth="1"/>
    <col min="8450" max="8450" width="11" style="2" customWidth="1"/>
    <col min="8451" max="8451" width="7.375" style="2" customWidth="1"/>
    <col min="8452" max="8452" width="17.25" style="2" bestFit="1" customWidth="1"/>
    <col min="8453" max="8453" width="9.125" style="2" customWidth="1"/>
    <col min="8454" max="8692" width="8.75" style="2"/>
    <col min="8693" max="8693" width="7.75" style="2" customWidth="1"/>
    <col min="8694" max="8694" width="32.375" style="2" customWidth="1"/>
    <col min="8695" max="8695" width="14.875" style="2" customWidth="1"/>
    <col min="8696" max="8696" width="10.375" style="2" customWidth="1"/>
    <col min="8697" max="8697" width="13.25" style="2" customWidth="1"/>
    <col min="8698" max="8698" width="12.125" style="2" customWidth="1"/>
    <col min="8699" max="8699" width="13.25" style="2" customWidth="1"/>
    <col min="8700" max="8700" width="12" style="2" customWidth="1"/>
    <col min="8701" max="8701" width="13.25" style="2" customWidth="1"/>
    <col min="8702" max="8702" width="11.875" style="2" customWidth="1"/>
    <col min="8703" max="8703" width="13.75" style="2" customWidth="1"/>
    <col min="8704" max="8704" width="12.375" style="2" customWidth="1"/>
    <col min="8705" max="8705" width="13.25" style="2" customWidth="1"/>
    <col min="8706" max="8706" width="11" style="2" customWidth="1"/>
    <col min="8707" max="8707" width="7.375" style="2" customWidth="1"/>
    <col min="8708" max="8708" width="17.25" style="2" bestFit="1" customWidth="1"/>
    <col min="8709" max="8709" width="9.125" style="2" customWidth="1"/>
    <col min="8710" max="8948" width="8.75" style="2"/>
    <col min="8949" max="8949" width="7.75" style="2" customWidth="1"/>
    <col min="8950" max="8950" width="32.375" style="2" customWidth="1"/>
    <col min="8951" max="8951" width="14.875" style="2" customWidth="1"/>
    <col min="8952" max="8952" width="10.375" style="2" customWidth="1"/>
    <col min="8953" max="8953" width="13.25" style="2" customWidth="1"/>
    <col min="8954" max="8954" width="12.125" style="2" customWidth="1"/>
    <col min="8955" max="8955" width="13.25" style="2" customWidth="1"/>
    <col min="8956" max="8956" width="12" style="2" customWidth="1"/>
    <col min="8957" max="8957" width="13.25" style="2" customWidth="1"/>
    <col min="8958" max="8958" width="11.875" style="2" customWidth="1"/>
    <col min="8959" max="8959" width="13.75" style="2" customWidth="1"/>
    <col min="8960" max="8960" width="12.375" style="2" customWidth="1"/>
    <col min="8961" max="8961" width="13.25" style="2" customWidth="1"/>
    <col min="8962" max="8962" width="11" style="2" customWidth="1"/>
    <col min="8963" max="8963" width="7.375" style="2" customWidth="1"/>
    <col min="8964" max="8964" width="17.25" style="2" bestFit="1" customWidth="1"/>
    <col min="8965" max="8965" width="9.125" style="2" customWidth="1"/>
    <col min="8966" max="9204" width="8.75" style="2"/>
    <col min="9205" max="9205" width="7.75" style="2" customWidth="1"/>
    <col min="9206" max="9206" width="32.375" style="2" customWidth="1"/>
    <col min="9207" max="9207" width="14.875" style="2" customWidth="1"/>
    <col min="9208" max="9208" width="10.375" style="2" customWidth="1"/>
    <col min="9209" max="9209" width="13.25" style="2" customWidth="1"/>
    <col min="9210" max="9210" width="12.125" style="2" customWidth="1"/>
    <col min="9211" max="9211" width="13.25" style="2" customWidth="1"/>
    <col min="9212" max="9212" width="12" style="2" customWidth="1"/>
    <col min="9213" max="9213" width="13.25" style="2" customWidth="1"/>
    <col min="9214" max="9214" width="11.875" style="2" customWidth="1"/>
    <col min="9215" max="9215" width="13.75" style="2" customWidth="1"/>
    <col min="9216" max="9216" width="12.375" style="2" customWidth="1"/>
    <col min="9217" max="9217" width="13.25" style="2" customWidth="1"/>
    <col min="9218" max="9218" width="11" style="2" customWidth="1"/>
    <col min="9219" max="9219" width="7.375" style="2" customWidth="1"/>
    <col min="9220" max="9220" width="17.25" style="2" bestFit="1" customWidth="1"/>
    <col min="9221" max="9221" width="9.125" style="2" customWidth="1"/>
    <col min="9222" max="9460" width="8.75" style="2"/>
    <col min="9461" max="9461" width="7.75" style="2" customWidth="1"/>
    <col min="9462" max="9462" width="32.375" style="2" customWidth="1"/>
    <col min="9463" max="9463" width="14.875" style="2" customWidth="1"/>
    <col min="9464" max="9464" width="10.375" style="2" customWidth="1"/>
    <col min="9465" max="9465" width="13.25" style="2" customWidth="1"/>
    <col min="9466" max="9466" width="12.125" style="2" customWidth="1"/>
    <col min="9467" max="9467" width="13.25" style="2" customWidth="1"/>
    <col min="9468" max="9468" width="12" style="2" customWidth="1"/>
    <col min="9469" max="9469" width="13.25" style="2" customWidth="1"/>
    <col min="9470" max="9470" width="11.875" style="2" customWidth="1"/>
    <col min="9471" max="9471" width="13.75" style="2" customWidth="1"/>
    <col min="9472" max="9472" width="12.375" style="2" customWidth="1"/>
    <col min="9473" max="9473" width="13.25" style="2" customWidth="1"/>
    <col min="9474" max="9474" width="11" style="2" customWidth="1"/>
    <col min="9475" max="9475" width="7.375" style="2" customWidth="1"/>
    <col min="9476" max="9476" width="17.25" style="2" bestFit="1" customWidth="1"/>
    <col min="9477" max="9477" width="9.125" style="2" customWidth="1"/>
    <col min="9478" max="9716" width="8.75" style="2"/>
    <col min="9717" max="9717" width="7.75" style="2" customWidth="1"/>
    <col min="9718" max="9718" width="32.375" style="2" customWidth="1"/>
    <col min="9719" max="9719" width="14.875" style="2" customWidth="1"/>
    <col min="9720" max="9720" width="10.375" style="2" customWidth="1"/>
    <col min="9721" max="9721" width="13.25" style="2" customWidth="1"/>
    <col min="9722" max="9722" width="12.125" style="2" customWidth="1"/>
    <col min="9723" max="9723" width="13.25" style="2" customWidth="1"/>
    <col min="9724" max="9724" width="12" style="2" customWidth="1"/>
    <col min="9725" max="9725" width="13.25" style="2" customWidth="1"/>
    <col min="9726" max="9726" width="11.875" style="2" customWidth="1"/>
    <col min="9727" max="9727" width="13.75" style="2" customWidth="1"/>
    <col min="9728" max="9728" width="12.375" style="2" customWidth="1"/>
    <col min="9729" max="9729" width="13.25" style="2" customWidth="1"/>
    <col min="9730" max="9730" width="11" style="2" customWidth="1"/>
    <col min="9731" max="9731" width="7.375" style="2" customWidth="1"/>
    <col min="9732" max="9732" width="17.25" style="2" bestFit="1" customWidth="1"/>
    <col min="9733" max="9733" width="9.125" style="2" customWidth="1"/>
    <col min="9734" max="9972" width="8.75" style="2"/>
    <col min="9973" max="9973" width="7.75" style="2" customWidth="1"/>
    <col min="9974" max="9974" width="32.375" style="2" customWidth="1"/>
    <col min="9975" max="9975" width="14.875" style="2" customWidth="1"/>
    <col min="9976" max="9976" width="10.375" style="2" customWidth="1"/>
    <col min="9977" max="9977" width="13.25" style="2" customWidth="1"/>
    <col min="9978" max="9978" width="12.125" style="2" customWidth="1"/>
    <col min="9979" max="9979" width="13.25" style="2" customWidth="1"/>
    <col min="9980" max="9980" width="12" style="2" customWidth="1"/>
    <col min="9981" max="9981" width="13.25" style="2" customWidth="1"/>
    <col min="9982" max="9982" width="11.875" style="2" customWidth="1"/>
    <col min="9983" max="9983" width="13.75" style="2" customWidth="1"/>
    <col min="9984" max="9984" width="12.375" style="2" customWidth="1"/>
    <col min="9985" max="9985" width="13.25" style="2" customWidth="1"/>
    <col min="9986" max="9986" width="11" style="2" customWidth="1"/>
    <col min="9987" max="9987" width="7.375" style="2" customWidth="1"/>
    <col min="9988" max="9988" width="17.25" style="2" bestFit="1" customWidth="1"/>
    <col min="9989" max="9989" width="9.125" style="2" customWidth="1"/>
    <col min="9990" max="10228" width="8.75" style="2"/>
    <col min="10229" max="10229" width="7.75" style="2" customWidth="1"/>
    <col min="10230" max="10230" width="32.375" style="2" customWidth="1"/>
    <col min="10231" max="10231" width="14.875" style="2" customWidth="1"/>
    <col min="10232" max="10232" width="10.375" style="2" customWidth="1"/>
    <col min="10233" max="10233" width="13.25" style="2" customWidth="1"/>
    <col min="10234" max="10234" width="12.125" style="2" customWidth="1"/>
    <col min="10235" max="10235" width="13.25" style="2" customWidth="1"/>
    <col min="10236" max="10236" width="12" style="2" customWidth="1"/>
    <col min="10237" max="10237" width="13.25" style="2" customWidth="1"/>
    <col min="10238" max="10238" width="11.875" style="2" customWidth="1"/>
    <col min="10239" max="10239" width="13.75" style="2" customWidth="1"/>
    <col min="10240" max="10240" width="12.375" style="2" customWidth="1"/>
    <col min="10241" max="10241" width="13.25" style="2" customWidth="1"/>
    <col min="10242" max="10242" width="11" style="2" customWidth="1"/>
    <col min="10243" max="10243" width="7.375" style="2" customWidth="1"/>
    <col min="10244" max="10244" width="17.25" style="2" bestFit="1" customWidth="1"/>
    <col min="10245" max="10245" width="9.125" style="2" customWidth="1"/>
    <col min="10246" max="10484" width="8.75" style="2"/>
    <col min="10485" max="10485" width="7.75" style="2" customWidth="1"/>
    <col min="10486" max="10486" width="32.375" style="2" customWidth="1"/>
    <col min="10487" max="10487" width="14.875" style="2" customWidth="1"/>
    <col min="10488" max="10488" width="10.375" style="2" customWidth="1"/>
    <col min="10489" max="10489" width="13.25" style="2" customWidth="1"/>
    <col min="10490" max="10490" width="12.125" style="2" customWidth="1"/>
    <col min="10491" max="10491" width="13.25" style="2" customWidth="1"/>
    <col min="10492" max="10492" width="12" style="2" customWidth="1"/>
    <col min="10493" max="10493" width="13.25" style="2" customWidth="1"/>
    <col min="10494" max="10494" width="11.875" style="2" customWidth="1"/>
    <col min="10495" max="10495" width="13.75" style="2" customWidth="1"/>
    <col min="10496" max="10496" width="12.375" style="2" customWidth="1"/>
    <col min="10497" max="10497" width="13.25" style="2" customWidth="1"/>
    <col min="10498" max="10498" width="11" style="2" customWidth="1"/>
    <col min="10499" max="10499" width="7.375" style="2" customWidth="1"/>
    <col min="10500" max="10500" width="17.25" style="2" bestFit="1" customWidth="1"/>
    <col min="10501" max="10501" width="9.125" style="2" customWidth="1"/>
    <col min="10502" max="10740" width="8.75" style="2"/>
    <col min="10741" max="10741" width="7.75" style="2" customWidth="1"/>
    <col min="10742" max="10742" width="32.375" style="2" customWidth="1"/>
    <col min="10743" max="10743" width="14.875" style="2" customWidth="1"/>
    <col min="10744" max="10744" width="10.375" style="2" customWidth="1"/>
    <col min="10745" max="10745" width="13.25" style="2" customWidth="1"/>
    <col min="10746" max="10746" width="12.125" style="2" customWidth="1"/>
    <col min="10747" max="10747" width="13.25" style="2" customWidth="1"/>
    <col min="10748" max="10748" width="12" style="2" customWidth="1"/>
    <col min="10749" max="10749" width="13.25" style="2" customWidth="1"/>
    <col min="10750" max="10750" width="11.875" style="2" customWidth="1"/>
    <col min="10751" max="10751" width="13.75" style="2" customWidth="1"/>
    <col min="10752" max="10752" width="12.375" style="2" customWidth="1"/>
    <col min="10753" max="10753" width="13.25" style="2" customWidth="1"/>
    <col min="10754" max="10754" width="11" style="2" customWidth="1"/>
    <col min="10755" max="10755" width="7.375" style="2" customWidth="1"/>
    <col min="10756" max="10756" width="17.25" style="2" bestFit="1" customWidth="1"/>
    <col min="10757" max="10757" width="9.125" style="2" customWidth="1"/>
    <col min="10758" max="10996" width="8.75" style="2"/>
    <col min="10997" max="10997" width="7.75" style="2" customWidth="1"/>
    <col min="10998" max="10998" width="32.375" style="2" customWidth="1"/>
    <col min="10999" max="10999" width="14.875" style="2" customWidth="1"/>
    <col min="11000" max="11000" width="10.375" style="2" customWidth="1"/>
    <col min="11001" max="11001" width="13.25" style="2" customWidth="1"/>
    <col min="11002" max="11002" width="12.125" style="2" customWidth="1"/>
    <col min="11003" max="11003" width="13.25" style="2" customWidth="1"/>
    <col min="11004" max="11004" width="12" style="2" customWidth="1"/>
    <col min="11005" max="11005" width="13.25" style="2" customWidth="1"/>
    <col min="11006" max="11006" width="11.875" style="2" customWidth="1"/>
    <col min="11007" max="11007" width="13.75" style="2" customWidth="1"/>
    <col min="11008" max="11008" width="12.375" style="2" customWidth="1"/>
    <col min="11009" max="11009" width="13.25" style="2" customWidth="1"/>
    <col min="11010" max="11010" width="11" style="2" customWidth="1"/>
    <col min="11011" max="11011" width="7.375" style="2" customWidth="1"/>
    <col min="11012" max="11012" width="17.25" style="2" bestFit="1" customWidth="1"/>
    <col min="11013" max="11013" width="9.125" style="2" customWidth="1"/>
    <col min="11014" max="11252" width="8.75" style="2"/>
    <col min="11253" max="11253" width="7.75" style="2" customWidth="1"/>
    <col min="11254" max="11254" width="32.375" style="2" customWidth="1"/>
    <col min="11255" max="11255" width="14.875" style="2" customWidth="1"/>
    <col min="11256" max="11256" width="10.375" style="2" customWidth="1"/>
    <col min="11257" max="11257" width="13.25" style="2" customWidth="1"/>
    <col min="11258" max="11258" width="12.125" style="2" customWidth="1"/>
    <col min="11259" max="11259" width="13.25" style="2" customWidth="1"/>
    <col min="11260" max="11260" width="12" style="2" customWidth="1"/>
    <col min="11261" max="11261" width="13.25" style="2" customWidth="1"/>
    <col min="11262" max="11262" width="11.875" style="2" customWidth="1"/>
    <col min="11263" max="11263" width="13.75" style="2" customWidth="1"/>
    <col min="11264" max="11264" width="12.375" style="2" customWidth="1"/>
    <col min="11265" max="11265" width="13.25" style="2" customWidth="1"/>
    <col min="11266" max="11266" width="11" style="2" customWidth="1"/>
    <col min="11267" max="11267" width="7.375" style="2" customWidth="1"/>
    <col min="11268" max="11268" width="17.25" style="2" bestFit="1" customWidth="1"/>
    <col min="11269" max="11269" width="9.125" style="2" customWidth="1"/>
    <col min="11270" max="11508" width="8.75" style="2"/>
    <col min="11509" max="11509" width="7.75" style="2" customWidth="1"/>
    <col min="11510" max="11510" width="32.375" style="2" customWidth="1"/>
    <col min="11511" max="11511" width="14.875" style="2" customWidth="1"/>
    <col min="11512" max="11512" width="10.375" style="2" customWidth="1"/>
    <col min="11513" max="11513" width="13.25" style="2" customWidth="1"/>
    <col min="11514" max="11514" width="12.125" style="2" customWidth="1"/>
    <col min="11515" max="11515" width="13.25" style="2" customWidth="1"/>
    <col min="11516" max="11516" width="12" style="2" customWidth="1"/>
    <col min="11517" max="11517" width="13.25" style="2" customWidth="1"/>
    <col min="11518" max="11518" width="11.875" style="2" customWidth="1"/>
    <col min="11519" max="11519" width="13.75" style="2" customWidth="1"/>
    <col min="11520" max="11520" width="12.375" style="2" customWidth="1"/>
    <col min="11521" max="11521" width="13.25" style="2" customWidth="1"/>
    <col min="11522" max="11522" width="11" style="2" customWidth="1"/>
    <col min="11523" max="11523" width="7.375" style="2" customWidth="1"/>
    <col min="11524" max="11524" width="17.25" style="2" bestFit="1" customWidth="1"/>
    <col min="11525" max="11525" width="9.125" style="2" customWidth="1"/>
    <col min="11526" max="11764" width="8.75" style="2"/>
    <col min="11765" max="11765" width="7.75" style="2" customWidth="1"/>
    <col min="11766" max="11766" width="32.375" style="2" customWidth="1"/>
    <col min="11767" max="11767" width="14.875" style="2" customWidth="1"/>
    <col min="11768" max="11768" width="10.375" style="2" customWidth="1"/>
    <col min="11769" max="11769" width="13.25" style="2" customWidth="1"/>
    <col min="11770" max="11770" width="12.125" style="2" customWidth="1"/>
    <col min="11771" max="11771" width="13.25" style="2" customWidth="1"/>
    <col min="11772" max="11772" width="12" style="2" customWidth="1"/>
    <col min="11773" max="11773" width="13.25" style="2" customWidth="1"/>
    <col min="11774" max="11774" width="11.875" style="2" customWidth="1"/>
    <col min="11775" max="11775" width="13.75" style="2" customWidth="1"/>
    <col min="11776" max="11776" width="12.375" style="2" customWidth="1"/>
    <col min="11777" max="11777" width="13.25" style="2" customWidth="1"/>
    <col min="11778" max="11778" width="11" style="2" customWidth="1"/>
    <col min="11779" max="11779" width="7.375" style="2" customWidth="1"/>
    <col min="11780" max="11780" width="17.25" style="2" bestFit="1" customWidth="1"/>
    <col min="11781" max="11781" width="9.125" style="2" customWidth="1"/>
    <col min="11782" max="12020" width="8.75" style="2"/>
    <col min="12021" max="12021" width="7.75" style="2" customWidth="1"/>
    <col min="12022" max="12022" width="32.375" style="2" customWidth="1"/>
    <col min="12023" max="12023" width="14.875" style="2" customWidth="1"/>
    <col min="12024" max="12024" width="10.375" style="2" customWidth="1"/>
    <col min="12025" max="12025" width="13.25" style="2" customWidth="1"/>
    <col min="12026" max="12026" width="12.125" style="2" customWidth="1"/>
    <col min="12027" max="12027" width="13.25" style="2" customWidth="1"/>
    <col min="12028" max="12028" width="12" style="2" customWidth="1"/>
    <col min="12029" max="12029" width="13.25" style="2" customWidth="1"/>
    <col min="12030" max="12030" width="11.875" style="2" customWidth="1"/>
    <col min="12031" max="12031" width="13.75" style="2" customWidth="1"/>
    <col min="12032" max="12032" width="12.375" style="2" customWidth="1"/>
    <col min="12033" max="12033" width="13.25" style="2" customWidth="1"/>
    <col min="12034" max="12034" width="11" style="2" customWidth="1"/>
    <col min="12035" max="12035" width="7.375" style="2" customWidth="1"/>
    <col min="12036" max="12036" width="17.25" style="2" bestFit="1" customWidth="1"/>
    <col min="12037" max="12037" width="9.125" style="2" customWidth="1"/>
    <col min="12038" max="12276" width="8.75" style="2"/>
    <col min="12277" max="12277" width="7.75" style="2" customWidth="1"/>
    <col min="12278" max="12278" width="32.375" style="2" customWidth="1"/>
    <col min="12279" max="12279" width="14.875" style="2" customWidth="1"/>
    <col min="12280" max="12280" width="10.375" style="2" customWidth="1"/>
    <col min="12281" max="12281" width="13.25" style="2" customWidth="1"/>
    <col min="12282" max="12282" width="12.125" style="2" customWidth="1"/>
    <col min="12283" max="12283" width="13.25" style="2" customWidth="1"/>
    <col min="12284" max="12284" width="12" style="2" customWidth="1"/>
    <col min="12285" max="12285" width="13.25" style="2" customWidth="1"/>
    <col min="12286" max="12286" width="11.875" style="2" customWidth="1"/>
    <col min="12287" max="12287" width="13.75" style="2" customWidth="1"/>
    <col min="12288" max="12288" width="12.375" style="2" customWidth="1"/>
    <col min="12289" max="12289" width="13.25" style="2" customWidth="1"/>
    <col min="12290" max="12290" width="11" style="2" customWidth="1"/>
    <col min="12291" max="12291" width="7.375" style="2" customWidth="1"/>
    <col min="12292" max="12292" width="17.25" style="2" bestFit="1" customWidth="1"/>
    <col min="12293" max="12293" width="9.125" style="2" customWidth="1"/>
    <col min="12294" max="12532" width="8.75" style="2"/>
    <col min="12533" max="12533" width="7.75" style="2" customWidth="1"/>
    <col min="12534" max="12534" width="32.375" style="2" customWidth="1"/>
    <col min="12535" max="12535" width="14.875" style="2" customWidth="1"/>
    <col min="12536" max="12536" width="10.375" style="2" customWidth="1"/>
    <col min="12537" max="12537" width="13.25" style="2" customWidth="1"/>
    <col min="12538" max="12538" width="12.125" style="2" customWidth="1"/>
    <col min="12539" max="12539" width="13.25" style="2" customWidth="1"/>
    <col min="12540" max="12540" width="12" style="2" customWidth="1"/>
    <col min="12541" max="12541" width="13.25" style="2" customWidth="1"/>
    <col min="12542" max="12542" width="11.875" style="2" customWidth="1"/>
    <col min="12543" max="12543" width="13.75" style="2" customWidth="1"/>
    <col min="12544" max="12544" width="12.375" style="2" customWidth="1"/>
    <col min="12545" max="12545" width="13.25" style="2" customWidth="1"/>
    <col min="12546" max="12546" width="11" style="2" customWidth="1"/>
    <col min="12547" max="12547" width="7.375" style="2" customWidth="1"/>
    <col min="12548" max="12548" width="17.25" style="2" bestFit="1" customWidth="1"/>
    <col min="12549" max="12549" width="9.125" style="2" customWidth="1"/>
    <col min="12550" max="12788" width="8.75" style="2"/>
    <col min="12789" max="12789" width="7.75" style="2" customWidth="1"/>
    <col min="12790" max="12790" width="32.375" style="2" customWidth="1"/>
    <col min="12791" max="12791" width="14.875" style="2" customWidth="1"/>
    <col min="12792" max="12792" width="10.375" style="2" customWidth="1"/>
    <col min="12793" max="12793" width="13.25" style="2" customWidth="1"/>
    <col min="12794" max="12794" width="12.125" style="2" customWidth="1"/>
    <col min="12795" max="12795" width="13.25" style="2" customWidth="1"/>
    <col min="12796" max="12796" width="12" style="2" customWidth="1"/>
    <col min="12797" max="12797" width="13.25" style="2" customWidth="1"/>
    <col min="12798" max="12798" width="11.875" style="2" customWidth="1"/>
    <col min="12799" max="12799" width="13.75" style="2" customWidth="1"/>
    <col min="12800" max="12800" width="12.375" style="2" customWidth="1"/>
    <col min="12801" max="12801" width="13.25" style="2" customWidth="1"/>
    <col min="12802" max="12802" width="11" style="2" customWidth="1"/>
    <col min="12803" max="12803" width="7.375" style="2" customWidth="1"/>
    <col min="12804" max="12804" width="17.25" style="2" bestFit="1" customWidth="1"/>
    <col min="12805" max="12805" width="9.125" style="2" customWidth="1"/>
    <col min="12806" max="13044" width="8.75" style="2"/>
    <col min="13045" max="13045" width="7.75" style="2" customWidth="1"/>
    <col min="13046" max="13046" width="32.375" style="2" customWidth="1"/>
    <col min="13047" max="13047" width="14.875" style="2" customWidth="1"/>
    <col min="13048" max="13048" width="10.375" style="2" customWidth="1"/>
    <col min="13049" max="13049" width="13.25" style="2" customWidth="1"/>
    <col min="13050" max="13050" width="12.125" style="2" customWidth="1"/>
    <col min="13051" max="13051" width="13.25" style="2" customWidth="1"/>
    <col min="13052" max="13052" width="12" style="2" customWidth="1"/>
    <col min="13053" max="13053" width="13.25" style="2" customWidth="1"/>
    <col min="13054" max="13054" width="11.875" style="2" customWidth="1"/>
    <col min="13055" max="13055" width="13.75" style="2" customWidth="1"/>
    <col min="13056" max="13056" width="12.375" style="2" customWidth="1"/>
    <col min="13057" max="13057" width="13.25" style="2" customWidth="1"/>
    <col min="13058" max="13058" width="11" style="2" customWidth="1"/>
    <col min="13059" max="13059" width="7.375" style="2" customWidth="1"/>
    <col min="13060" max="13060" width="17.25" style="2" bestFit="1" customWidth="1"/>
    <col min="13061" max="13061" width="9.125" style="2" customWidth="1"/>
    <col min="13062" max="13300" width="8.75" style="2"/>
    <col min="13301" max="13301" width="7.75" style="2" customWidth="1"/>
    <col min="13302" max="13302" width="32.375" style="2" customWidth="1"/>
    <col min="13303" max="13303" width="14.875" style="2" customWidth="1"/>
    <col min="13304" max="13304" width="10.375" style="2" customWidth="1"/>
    <col min="13305" max="13305" width="13.25" style="2" customWidth="1"/>
    <col min="13306" max="13306" width="12.125" style="2" customWidth="1"/>
    <col min="13307" max="13307" width="13.25" style="2" customWidth="1"/>
    <col min="13308" max="13308" width="12" style="2" customWidth="1"/>
    <col min="13309" max="13309" width="13.25" style="2" customWidth="1"/>
    <col min="13310" max="13310" width="11.875" style="2" customWidth="1"/>
    <col min="13311" max="13311" width="13.75" style="2" customWidth="1"/>
    <col min="13312" max="13312" width="12.375" style="2" customWidth="1"/>
    <col min="13313" max="13313" width="13.25" style="2" customWidth="1"/>
    <col min="13314" max="13314" width="11" style="2" customWidth="1"/>
    <col min="13315" max="13315" width="7.375" style="2" customWidth="1"/>
    <col min="13316" max="13316" width="17.25" style="2" bestFit="1" customWidth="1"/>
    <col min="13317" max="13317" width="9.125" style="2" customWidth="1"/>
    <col min="13318" max="13556" width="8.75" style="2"/>
    <col min="13557" max="13557" width="7.75" style="2" customWidth="1"/>
    <col min="13558" max="13558" width="32.375" style="2" customWidth="1"/>
    <col min="13559" max="13559" width="14.875" style="2" customWidth="1"/>
    <col min="13560" max="13560" width="10.375" style="2" customWidth="1"/>
    <col min="13561" max="13561" width="13.25" style="2" customWidth="1"/>
    <col min="13562" max="13562" width="12.125" style="2" customWidth="1"/>
    <col min="13563" max="13563" width="13.25" style="2" customWidth="1"/>
    <col min="13564" max="13564" width="12" style="2" customWidth="1"/>
    <col min="13565" max="13565" width="13.25" style="2" customWidth="1"/>
    <col min="13566" max="13566" width="11.875" style="2" customWidth="1"/>
    <col min="13567" max="13567" width="13.75" style="2" customWidth="1"/>
    <col min="13568" max="13568" width="12.375" style="2" customWidth="1"/>
    <col min="13569" max="13569" width="13.25" style="2" customWidth="1"/>
    <col min="13570" max="13570" width="11" style="2" customWidth="1"/>
    <col min="13571" max="13571" width="7.375" style="2" customWidth="1"/>
    <col min="13572" max="13572" width="17.25" style="2" bestFit="1" customWidth="1"/>
    <col min="13573" max="13573" width="9.125" style="2" customWidth="1"/>
    <col min="13574" max="13812" width="8.75" style="2"/>
    <col min="13813" max="13813" width="7.75" style="2" customWidth="1"/>
    <col min="13814" max="13814" width="32.375" style="2" customWidth="1"/>
    <col min="13815" max="13815" width="14.875" style="2" customWidth="1"/>
    <col min="13816" max="13816" width="10.375" style="2" customWidth="1"/>
    <col min="13817" max="13817" width="13.25" style="2" customWidth="1"/>
    <col min="13818" max="13818" width="12.125" style="2" customWidth="1"/>
    <col min="13819" max="13819" width="13.25" style="2" customWidth="1"/>
    <col min="13820" max="13820" width="12" style="2" customWidth="1"/>
    <col min="13821" max="13821" width="13.25" style="2" customWidth="1"/>
    <col min="13822" max="13822" width="11.875" style="2" customWidth="1"/>
    <col min="13823" max="13823" width="13.75" style="2" customWidth="1"/>
    <col min="13824" max="13824" width="12.375" style="2" customWidth="1"/>
    <col min="13825" max="13825" width="13.25" style="2" customWidth="1"/>
    <col min="13826" max="13826" width="11" style="2" customWidth="1"/>
    <col min="13827" max="13827" width="7.375" style="2" customWidth="1"/>
    <col min="13828" max="13828" width="17.25" style="2" bestFit="1" customWidth="1"/>
    <col min="13829" max="13829" width="9.125" style="2" customWidth="1"/>
    <col min="13830" max="14068" width="8.75" style="2"/>
    <col min="14069" max="14069" width="7.75" style="2" customWidth="1"/>
    <col min="14070" max="14070" width="32.375" style="2" customWidth="1"/>
    <col min="14071" max="14071" width="14.875" style="2" customWidth="1"/>
    <col min="14072" max="14072" width="10.375" style="2" customWidth="1"/>
    <col min="14073" max="14073" width="13.25" style="2" customWidth="1"/>
    <col min="14074" max="14074" width="12.125" style="2" customWidth="1"/>
    <col min="14075" max="14075" width="13.25" style="2" customWidth="1"/>
    <col min="14076" max="14076" width="12" style="2" customWidth="1"/>
    <col min="14077" max="14077" width="13.25" style="2" customWidth="1"/>
    <col min="14078" max="14078" width="11.875" style="2" customWidth="1"/>
    <col min="14079" max="14079" width="13.75" style="2" customWidth="1"/>
    <col min="14080" max="14080" width="12.375" style="2" customWidth="1"/>
    <col min="14081" max="14081" width="13.25" style="2" customWidth="1"/>
    <col min="14082" max="14082" width="11" style="2" customWidth="1"/>
    <col min="14083" max="14083" width="7.375" style="2" customWidth="1"/>
    <col min="14084" max="14084" width="17.25" style="2" bestFit="1" customWidth="1"/>
    <col min="14085" max="14085" width="9.125" style="2" customWidth="1"/>
    <col min="14086" max="14324" width="8.75" style="2"/>
    <col min="14325" max="14325" width="7.75" style="2" customWidth="1"/>
    <col min="14326" max="14326" width="32.375" style="2" customWidth="1"/>
    <col min="14327" max="14327" width="14.875" style="2" customWidth="1"/>
    <col min="14328" max="14328" width="10.375" style="2" customWidth="1"/>
    <col min="14329" max="14329" width="13.25" style="2" customWidth="1"/>
    <col min="14330" max="14330" width="12.125" style="2" customWidth="1"/>
    <col min="14331" max="14331" width="13.25" style="2" customWidth="1"/>
    <col min="14332" max="14332" width="12" style="2" customWidth="1"/>
    <col min="14333" max="14333" width="13.25" style="2" customWidth="1"/>
    <col min="14334" max="14334" width="11.875" style="2" customWidth="1"/>
    <col min="14335" max="14335" width="13.75" style="2" customWidth="1"/>
    <col min="14336" max="14336" width="12.375" style="2" customWidth="1"/>
    <col min="14337" max="14337" width="13.25" style="2" customWidth="1"/>
    <col min="14338" max="14338" width="11" style="2" customWidth="1"/>
    <col min="14339" max="14339" width="7.375" style="2" customWidth="1"/>
    <col min="14340" max="14340" width="17.25" style="2" bestFit="1" customWidth="1"/>
    <col min="14341" max="14341" width="9.125" style="2" customWidth="1"/>
    <col min="14342" max="14580" width="8.75" style="2"/>
    <col min="14581" max="14581" width="7.75" style="2" customWidth="1"/>
    <col min="14582" max="14582" width="32.375" style="2" customWidth="1"/>
    <col min="14583" max="14583" width="14.875" style="2" customWidth="1"/>
    <col min="14584" max="14584" width="10.375" style="2" customWidth="1"/>
    <col min="14585" max="14585" width="13.25" style="2" customWidth="1"/>
    <col min="14586" max="14586" width="12.125" style="2" customWidth="1"/>
    <col min="14587" max="14587" width="13.25" style="2" customWidth="1"/>
    <col min="14588" max="14588" width="12" style="2" customWidth="1"/>
    <col min="14589" max="14589" width="13.25" style="2" customWidth="1"/>
    <col min="14590" max="14590" width="11.875" style="2" customWidth="1"/>
    <col min="14591" max="14591" width="13.75" style="2" customWidth="1"/>
    <col min="14592" max="14592" width="12.375" style="2" customWidth="1"/>
    <col min="14593" max="14593" width="13.25" style="2" customWidth="1"/>
    <col min="14594" max="14594" width="11" style="2" customWidth="1"/>
    <col min="14595" max="14595" width="7.375" style="2" customWidth="1"/>
    <col min="14596" max="14596" width="17.25" style="2" bestFit="1" customWidth="1"/>
    <col min="14597" max="14597" width="9.125" style="2" customWidth="1"/>
    <col min="14598" max="14836" width="8.75" style="2"/>
    <col min="14837" max="14837" width="7.75" style="2" customWidth="1"/>
    <col min="14838" max="14838" width="32.375" style="2" customWidth="1"/>
    <col min="14839" max="14839" width="14.875" style="2" customWidth="1"/>
    <col min="14840" max="14840" width="10.375" style="2" customWidth="1"/>
    <col min="14841" max="14841" width="13.25" style="2" customWidth="1"/>
    <col min="14842" max="14842" width="12.125" style="2" customWidth="1"/>
    <col min="14843" max="14843" width="13.25" style="2" customWidth="1"/>
    <col min="14844" max="14844" width="12" style="2" customWidth="1"/>
    <col min="14845" max="14845" width="13.25" style="2" customWidth="1"/>
    <col min="14846" max="14846" width="11.875" style="2" customWidth="1"/>
    <col min="14847" max="14847" width="13.75" style="2" customWidth="1"/>
    <col min="14848" max="14848" width="12.375" style="2" customWidth="1"/>
    <col min="14849" max="14849" width="13.25" style="2" customWidth="1"/>
    <col min="14850" max="14850" width="11" style="2" customWidth="1"/>
    <col min="14851" max="14851" width="7.375" style="2" customWidth="1"/>
    <col min="14852" max="14852" width="17.25" style="2" bestFit="1" customWidth="1"/>
    <col min="14853" max="14853" width="9.125" style="2" customWidth="1"/>
    <col min="14854" max="15092" width="8.75" style="2"/>
    <col min="15093" max="15093" width="7.75" style="2" customWidth="1"/>
    <col min="15094" max="15094" width="32.375" style="2" customWidth="1"/>
    <col min="15095" max="15095" width="14.875" style="2" customWidth="1"/>
    <col min="15096" max="15096" width="10.375" style="2" customWidth="1"/>
    <col min="15097" max="15097" width="13.25" style="2" customWidth="1"/>
    <col min="15098" max="15098" width="12.125" style="2" customWidth="1"/>
    <col min="15099" max="15099" width="13.25" style="2" customWidth="1"/>
    <col min="15100" max="15100" width="12" style="2" customWidth="1"/>
    <col min="15101" max="15101" width="13.25" style="2" customWidth="1"/>
    <col min="15102" max="15102" width="11.875" style="2" customWidth="1"/>
    <col min="15103" max="15103" width="13.75" style="2" customWidth="1"/>
    <col min="15104" max="15104" width="12.375" style="2" customWidth="1"/>
    <col min="15105" max="15105" width="13.25" style="2" customWidth="1"/>
    <col min="15106" max="15106" width="11" style="2" customWidth="1"/>
    <col min="15107" max="15107" width="7.375" style="2" customWidth="1"/>
    <col min="15108" max="15108" width="17.25" style="2" bestFit="1" customWidth="1"/>
    <col min="15109" max="15109" width="9.125" style="2" customWidth="1"/>
    <col min="15110" max="15348" width="8.75" style="2"/>
    <col min="15349" max="15349" width="7.75" style="2" customWidth="1"/>
    <col min="15350" max="15350" width="32.375" style="2" customWidth="1"/>
    <col min="15351" max="15351" width="14.875" style="2" customWidth="1"/>
    <col min="15352" max="15352" width="10.375" style="2" customWidth="1"/>
    <col min="15353" max="15353" width="13.25" style="2" customWidth="1"/>
    <col min="15354" max="15354" width="12.125" style="2" customWidth="1"/>
    <col min="15355" max="15355" width="13.25" style="2" customWidth="1"/>
    <col min="15356" max="15356" width="12" style="2" customWidth="1"/>
    <col min="15357" max="15357" width="13.25" style="2" customWidth="1"/>
    <col min="15358" max="15358" width="11.875" style="2" customWidth="1"/>
    <col min="15359" max="15359" width="13.75" style="2" customWidth="1"/>
    <col min="15360" max="15360" width="12.375" style="2" customWidth="1"/>
    <col min="15361" max="15361" width="13.25" style="2" customWidth="1"/>
    <col min="15362" max="15362" width="11" style="2" customWidth="1"/>
    <col min="15363" max="15363" width="7.375" style="2" customWidth="1"/>
    <col min="15364" max="15364" width="17.25" style="2" bestFit="1" customWidth="1"/>
    <col min="15365" max="15365" width="9.125" style="2" customWidth="1"/>
    <col min="15366" max="15604" width="8.75" style="2"/>
    <col min="15605" max="15605" width="7.75" style="2" customWidth="1"/>
    <col min="15606" max="15606" width="32.375" style="2" customWidth="1"/>
    <col min="15607" max="15607" width="14.875" style="2" customWidth="1"/>
    <col min="15608" max="15608" width="10.375" style="2" customWidth="1"/>
    <col min="15609" max="15609" width="13.25" style="2" customWidth="1"/>
    <col min="15610" max="15610" width="12.125" style="2" customWidth="1"/>
    <col min="15611" max="15611" width="13.25" style="2" customWidth="1"/>
    <col min="15612" max="15612" width="12" style="2" customWidth="1"/>
    <col min="15613" max="15613" width="13.25" style="2" customWidth="1"/>
    <col min="15614" max="15614" width="11.875" style="2" customWidth="1"/>
    <col min="15615" max="15615" width="13.75" style="2" customWidth="1"/>
    <col min="15616" max="15616" width="12.375" style="2" customWidth="1"/>
    <col min="15617" max="15617" width="13.25" style="2" customWidth="1"/>
    <col min="15618" max="15618" width="11" style="2" customWidth="1"/>
    <col min="15619" max="15619" width="7.375" style="2" customWidth="1"/>
    <col min="15620" max="15620" width="17.25" style="2" bestFit="1" customWidth="1"/>
    <col min="15621" max="15621" width="9.125" style="2" customWidth="1"/>
    <col min="15622" max="15860" width="8.75" style="2"/>
    <col min="15861" max="15861" width="7.75" style="2" customWidth="1"/>
    <col min="15862" max="15862" width="32.375" style="2" customWidth="1"/>
    <col min="15863" max="15863" width="14.875" style="2" customWidth="1"/>
    <col min="15864" max="15864" width="10.375" style="2" customWidth="1"/>
    <col min="15865" max="15865" width="13.25" style="2" customWidth="1"/>
    <col min="15866" max="15866" width="12.125" style="2" customWidth="1"/>
    <col min="15867" max="15867" width="13.25" style="2" customWidth="1"/>
    <col min="15868" max="15868" width="12" style="2" customWidth="1"/>
    <col min="15869" max="15869" width="13.25" style="2" customWidth="1"/>
    <col min="15870" max="15870" width="11.875" style="2" customWidth="1"/>
    <col min="15871" max="15871" width="13.75" style="2" customWidth="1"/>
    <col min="15872" max="15872" width="12.375" style="2" customWidth="1"/>
    <col min="15873" max="15873" width="13.25" style="2" customWidth="1"/>
    <col min="15874" max="15874" width="11" style="2" customWidth="1"/>
    <col min="15875" max="15875" width="7.375" style="2" customWidth="1"/>
    <col min="15876" max="15876" width="17.25" style="2" bestFit="1" customWidth="1"/>
    <col min="15877" max="15877" width="9.125" style="2" customWidth="1"/>
    <col min="15878" max="16116" width="8.75" style="2"/>
    <col min="16117" max="16117" width="7.75" style="2" customWidth="1"/>
    <col min="16118" max="16118" width="32.375" style="2" customWidth="1"/>
    <col min="16119" max="16119" width="14.875" style="2" customWidth="1"/>
    <col min="16120" max="16120" width="10.375" style="2" customWidth="1"/>
    <col min="16121" max="16121" width="13.25" style="2" customWidth="1"/>
    <col min="16122" max="16122" width="12.125" style="2" customWidth="1"/>
    <col min="16123" max="16123" width="13.25" style="2" customWidth="1"/>
    <col min="16124" max="16124" width="12" style="2" customWidth="1"/>
    <col min="16125" max="16125" width="13.25" style="2" customWidth="1"/>
    <col min="16126" max="16126" width="11.875" style="2" customWidth="1"/>
    <col min="16127" max="16127" width="13.75" style="2" customWidth="1"/>
    <col min="16128" max="16128" width="12.375" style="2" customWidth="1"/>
    <col min="16129" max="16129" width="13.25" style="2" customWidth="1"/>
    <col min="16130" max="16130" width="11" style="2" customWidth="1"/>
    <col min="16131" max="16131" width="7.375" style="2" customWidth="1"/>
    <col min="16132" max="16132" width="17.25" style="2" bestFit="1" customWidth="1"/>
    <col min="16133" max="16133" width="9.125" style="2" customWidth="1"/>
    <col min="16134" max="16384" width="8.75" style="2"/>
  </cols>
  <sheetData>
    <row r="1" spans="1:87" hidden="1" x14ac:dyDescent="0.2"/>
    <row r="2" spans="1:87" s="229" customFormat="1" ht="60" customHeight="1" x14ac:dyDescent="0.2">
      <c r="A2" s="472" t="s">
        <v>999</v>
      </c>
      <c r="B2" s="472"/>
      <c r="C2" s="472"/>
      <c r="D2" s="472"/>
      <c r="E2" s="472"/>
      <c r="F2" s="472"/>
      <c r="G2" s="472"/>
      <c r="H2" s="472"/>
      <c r="I2" s="472"/>
      <c r="J2" s="472"/>
      <c r="K2" s="472"/>
      <c r="L2" s="472"/>
      <c r="M2" s="472"/>
      <c r="N2" s="472"/>
      <c r="O2" s="472"/>
    </row>
    <row r="3" spans="1:87" s="229" customFormat="1" ht="26.25" hidden="1" x14ac:dyDescent="0.2">
      <c r="A3" s="473" t="s">
        <v>268</v>
      </c>
      <c r="B3" s="473"/>
      <c r="C3" s="473"/>
      <c r="D3" s="473"/>
      <c r="E3" s="473"/>
      <c r="F3" s="473"/>
      <c r="G3" s="473"/>
      <c r="H3" s="473"/>
      <c r="I3" s="473"/>
      <c r="J3" s="473"/>
      <c r="K3" s="473"/>
      <c r="L3" s="473"/>
      <c r="M3" s="473"/>
      <c r="N3" s="473"/>
      <c r="O3" s="473"/>
    </row>
    <row r="4" spans="1:87" s="229" customFormat="1" ht="26.25" hidden="1" x14ac:dyDescent="0.2">
      <c r="A4" s="473" t="s">
        <v>265</v>
      </c>
      <c r="B4" s="473"/>
      <c r="C4" s="473"/>
      <c r="D4" s="473"/>
      <c r="E4" s="473"/>
      <c r="F4" s="473"/>
      <c r="G4" s="473"/>
      <c r="H4" s="473"/>
      <c r="I4" s="473"/>
      <c r="J4" s="473"/>
      <c r="K4" s="473"/>
      <c r="L4" s="473"/>
      <c r="M4" s="473"/>
      <c r="N4" s="473"/>
      <c r="O4" s="473"/>
    </row>
    <row r="5" spans="1:87" s="229" customFormat="1" ht="22.5" hidden="1" customHeight="1" x14ac:dyDescent="0.2">
      <c r="A5" s="473" t="s">
        <v>230</v>
      </c>
      <c r="B5" s="473"/>
      <c r="C5" s="473"/>
      <c r="D5" s="473"/>
      <c r="E5" s="473"/>
      <c r="F5" s="473"/>
      <c r="G5" s="473"/>
      <c r="H5" s="473"/>
      <c r="I5" s="473"/>
      <c r="J5" s="473"/>
      <c r="K5" s="473"/>
      <c r="L5" s="473"/>
      <c r="M5" s="473"/>
      <c r="N5" s="473"/>
      <c r="O5" s="473"/>
    </row>
    <row r="6" spans="1:87" s="230" customFormat="1" ht="23.1" customHeight="1" x14ac:dyDescent="0.2">
      <c r="A6" s="473" t="str">
        <f>'PL1-TH'!A5:F5</f>
        <v>(Kèm theo Nghị quyết số 48/NQ-HĐND ngày 09 tháng 12 năm 2023 của HĐND tỉnh Đồng Tháp)</v>
      </c>
      <c r="B6" s="473"/>
      <c r="C6" s="473"/>
      <c r="D6" s="473"/>
      <c r="E6" s="473"/>
      <c r="F6" s="473"/>
      <c r="G6" s="473"/>
      <c r="H6" s="473"/>
      <c r="I6" s="473"/>
      <c r="J6" s="473"/>
      <c r="K6" s="473"/>
      <c r="L6" s="473"/>
      <c r="M6" s="473"/>
      <c r="N6" s="473"/>
      <c r="O6" s="473"/>
    </row>
    <row r="7" spans="1:87" s="230" customFormat="1" ht="23.1" customHeight="1" x14ac:dyDescent="0.2">
      <c r="A7" s="231"/>
      <c r="B7" s="231"/>
      <c r="C7" s="231"/>
      <c r="D7" s="231"/>
      <c r="E7" s="231"/>
      <c r="F7" s="231"/>
      <c r="G7" s="231"/>
      <c r="H7" s="231"/>
      <c r="I7" s="231"/>
      <c r="J7" s="231"/>
      <c r="K7" s="231"/>
      <c r="L7" s="231"/>
      <c r="M7" s="231"/>
      <c r="N7" s="231"/>
      <c r="O7" s="231"/>
    </row>
    <row r="8" spans="1:87" x14ac:dyDescent="0.2">
      <c r="M8" s="474" t="s">
        <v>221</v>
      </c>
      <c r="N8" s="474"/>
      <c r="O8" s="474"/>
    </row>
    <row r="9" spans="1:87" ht="26.25" customHeight="1" x14ac:dyDescent="0.2">
      <c r="A9" s="471" t="s">
        <v>0</v>
      </c>
      <c r="B9" s="471" t="s">
        <v>1</v>
      </c>
      <c r="C9" s="475" t="s">
        <v>707</v>
      </c>
      <c r="D9" s="475"/>
      <c r="E9" s="475"/>
      <c r="F9" s="475"/>
      <c r="G9" s="475"/>
      <c r="H9" s="475"/>
      <c r="I9" s="475"/>
      <c r="J9" s="475"/>
      <c r="K9" s="475"/>
      <c r="L9" s="475"/>
      <c r="M9" s="475"/>
      <c r="N9" s="475"/>
      <c r="O9" s="471" t="s">
        <v>18</v>
      </c>
    </row>
    <row r="10" spans="1:87" s="233" customFormat="1" ht="16.5" customHeight="1" x14ac:dyDescent="0.2">
      <c r="A10" s="471"/>
      <c r="B10" s="471"/>
      <c r="C10" s="471" t="s">
        <v>37</v>
      </c>
      <c r="D10" s="471"/>
      <c r="E10" s="477" t="s">
        <v>20</v>
      </c>
      <c r="F10" s="477"/>
      <c r="G10" s="477"/>
      <c r="H10" s="477"/>
      <c r="I10" s="477"/>
      <c r="J10" s="477"/>
      <c r="K10" s="477"/>
      <c r="L10" s="477"/>
      <c r="M10" s="477"/>
      <c r="N10" s="477"/>
      <c r="O10" s="471"/>
      <c r="P10" s="476"/>
    </row>
    <row r="11" spans="1:87" s="233" customFormat="1" ht="51.6" customHeight="1" x14ac:dyDescent="0.2">
      <c r="A11" s="471"/>
      <c r="B11" s="471"/>
      <c r="C11" s="471"/>
      <c r="D11" s="471"/>
      <c r="E11" s="471" t="s">
        <v>47</v>
      </c>
      <c r="F11" s="471"/>
      <c r="G11" s="471" t="s">
        <v>32</v>
      </c>
      <c r="H11" s="471"/>
      <c r="I11" s="471" t="s">
        <v>48</v>
      </c>
      <c r="J11" s="471"/>
      <c r="K11" s="471" t="s">
        <v>274</v>
      </c>
      <c r="L11" s="471"/>
      <c r="M11" s="471" t="s">
        <v>60</v>
      </c>
      <c r="N11" s="471"/>
      <c r="O11" s="471"/>
      <c r="P11" s="476"/>
      <c r="R11" s="471">
        <v>2020</v>
      </c>
      <c r="S11" s="471"/>
      <c r="T11" s="471"/>
      <c r="U11" s="471"/>
      <c r="V11" s="232"/>
      <c r="X11" s="471" t="s">
        <v>49</v>
      </c>
      <c r="Y11" s="471"/>
      <c r="Z11" s="471"/>
      <c r="AA11" s="471"/>
    </row>
    <row r="12" spans="1:87" s="233" customFormat="1" ht="22.5" customHeight="1" x14ac:dyDescent="0.2">
      <c r="A12" s="471"/>
      <c r="B12" s="471"/>
      <c r="C12" s="234" t="s">
        <v>31</v>
      </c>
      <c r="D12" s="234" t="s">
        <v>50</v>
      </c>
      <c r="E12" s="234" t="s">
        <v>31</v>
      </c>
      <c r="F12" s="234" t="s">
        <v>50</v>
      </c>
      <c r="G12" s="234" t="s">
        <v>31</v>
      </c>
      <c r="H12" s="234" t="s">
        <v>50</v>
      </c>
      <c r="I12" s="234" t="s">
        <v>31</v>
      </c>
      <c r="J12" s="234" t="s">
        <v>50</v>
      </c>
      <c r="K12" s="234" t="s">
        <v>31</v>
      </c>
      <c r="L12" s="234" t="s">
        <v>50</v>
      </c>
      <c r="M12" s="234" t="s">
        <v>31</v>
      </c>
      <c r="N12" s="234" t="s">
        <v>50</v>
      </c>
      <c r="O12" s="471"/>
      <c r="R12" s="235">
        <f>S12+T12</f>
        <v>1231620</v>
      </c>
      <c r="S12" s="235">
        <v>839720</v>
      </c>
      <c r="T12" s="235">
        <v>391900</v>
      </c>
      <c r="U12" s="235"/>
      <c r="V12" s="235"/>
      <c r="W12" s="233" t="s">
        <v>51</v>
      </c>
      <c r="X12" s="236">
        <f>Y12+Z12</f>
        <v>6158100</v>
      </c>
      <c r="Y12" s="236">
        <f>S12*5</f>
        <v>4198600</v>
      </c>
      <c r="Z12" s="236">
        <f>T12*5</f>
        <v>1959500</v>
      </c>
    </row>
    <row r="13" spans="1:87" s="238" customFormat="1" ht="16.5" x14ac:dyDescent="0.2">
      <c r="A13" s="237">
        <v>1</v>
      </c>
      <c r="B13" s="237">
        <v>2</v>
      </c>
      <c r="C13" s="237">
        <v>3</v>
      </c>
      <c r="D13" s="237">
        <v>4</v>
      </c>
      <c r="E13" s="237">
        <v>5</v>
      </c>
      <c r="F13" s="237">
        <v>6</v>
      </c>
      <c r="G13" s="237">
        <v>7</v>
      </c>
      <c r="H13" s="237">
        <v>8</v>
      </c>
      <c r="I13" s="237">
        <v>9</v>
      </c>
      <c r="J13" s="237">
        <v>10</v>
      </c>
      <c r="K13" s="237"/>
      <c r="L13" s="237"/>
      <c r="M13" s="237">
        <v>11</v>
      </c>
      <c r="N13" s="237">
        <v>12</v>
      </c>
      <c r="O13" s="237">
        <v>13</v>
      </c>
      <c r="W13" s="233" t="s">
        <v>52</v>
      </c>
      <c r="X13" s="236">
        <f>Y13+Z13</f>
        <v>8251854</v>
      </c>
      <c r="Y13" s="235">
        <f>S12*6.7</f>
        <v>5626124</v>
      </c>
      <c r="Z13" s="235">
        <f>T12*6.7</f>
        <v>2625730</v>
      </c>
    </row>
    <row r="14" spans="1:87" s="243" customFormat="1" ht="33" x14ac:dyDescent="0.2">
      <c r="A14" s="19"/>
      <c r="B14" s="239" t="s">
        <v>53</v>
      </c>
      <c r="C14" s="20">
        <f>C15+C41</f>
        <v>6677677</v>
      </c>
      <c r="D14" s="20"/>
      <c r="E14" s="20">
        <f>E15+E41</f>
        <v>1143186</v>
      </c>
      <c r="F14" s="20"/>
      <c r="G14" s="20">
        <f>G15+G41</f>
        <v>1950000</v>
      </c>
      <c r="H14" s="20"/>
      <c r="I14" s="20">
        <f>I15+I41</f>
        <v>1814491</v>
      </c>
      <c r="J14" s="20"/>
      <c r="K14" s="20">
        <f>K15+K41</f>
        <v>0</v>
      </c>
      <c r="L14" s="20"/>
      <c r="M14" s="20">
        <f>M15+M41</f>
        <v>1770000</v>
      </c>
      <c r="N14" s="20"/>
      <c r="O14" s="240"/>
      <c r="P14" s="241"/>
      <c r="Q14" s="242" t="s">
        <v>54</v>
      </c>
      <c r="R14" s="235"/>
      <c r="S14" s="235"/>
      <c r="T14" s="235"/>
      <c r="U14" s="235"/>
      <c r="V14" s="235"/>
      <c r="X14" s="236">
        <f>Y14+Z14</f>
        <v>145400</v>
      </c>
      <c r="Y14" s="235">
        <v>27400</v>
      </c>
      <c r="Z14" s="235">
        <v>118000</v>
      </c>
      <c r="CI14" s="241"/>
    </row>
    <row r="15" spans="1:87" s="284" customFormat="1" ht="39.950000000000003" customHeight="1" x14ac:dyDescent="0.2">
      <c r="A15" s="278" t="s">
        <v>4</v>
      </c>
      <c r="B15" s="279" t="s">
        <v>55</v>
      </c>
      <c r="C15" s="280">
        <f>C16+C40</f>
        <v>4953677</v>
      </c>
      <c r="D15" s="281">
        <f t="shared" ref="D15:D18" si="0">C15/$C$15</f>
        <v>1</v>
      </c>
      <c r="E15" s="280">
        <f>E16+E40</f>
        <v>562186</v>
      </c>
      <c r="F15" s="281">
        <f t="shared" ref="F15:F21" si="1">E15/$E$15</f>
        <v>1</v>
      </c>
      <c r="G15" s="280">
        <f>G16+G40</f>
        <v>1950000</v>
      </c>
      <c r="H15" s="281">
        <f t="shared" ref="H15:H19" si="2">G15/$G$15</f>
        <v>1</v>
      </c>
      <c r="I15" s="280">
        <f>I16+I40</f>
        <v>1814491</v>
      </c>
      <c r="J15" s="281">
        <f t="shared" ref="J15:J19" si="3">I15/$I$15</f>
        <v>1</v>
      </c>
      <c r="K15" s="280">
        <f t="shared" ref="K15" si="4">K18+K19+K17</f>
        <v>0</v>
      </c>
      <c r="L15" s="281"/>
      <c r="M15" s="280">
        <f>M16+M40</f>
        <v>627000</v>
      </c>
      <c r="N15" s="281">
        <f t="shared" ref="N15:N18" si="5">M15/$M$15</f>
        <v>1</v>
      </c>
      <c r="O15" s="282"/>
      <c r="P15" s="283"/>
      <c r="Q15" s="284" t="s">
        <v>56</v>
      </c>
      <c r="X15" s="283">
        <f>X12+X14</f>
        <v>6303500</v>
      </c>
      <c r="Y15" s="283">
        <f t="shared" ref="Y15:AA15" si="6">Y12+Y14</f>
        <v>4226000</v>
      </c>
      <c r="Z15" s="283">
        <f t="shared" si="6"/>
        <v>2077500</v>
      </c>
      <c r="AA15" s="283">
        <f t="shared" si="6"/>
        <v>0</v>
      </c>
      <c r="CI15" s="283"/>
    </row>
    <row r="16" spans="1:87" s="284" customFormat="1" ht="39.950000000000003" customHeight="1" x14ac:dyDescent="0.2">
      <c r="A16" s="278" t="s">
        <v>1003</v>
      </c>
      <c r="B16" s="285" t="s">
        <v>1001</v>
      </c>
      <c r="C16" s="280">
        <f>C17+C18+C19</f>
        <v>4777677</v>
      </c>
      <c r="D16" s="281">
        <f>C16/$C$15</f>
        <v>0.96447083651194865</v>
      </c>
      <c r="E16" s="280">
        <f>E17+E18+E19</f>
        <v>494186</v>
      </c>
      <c r="F16" s="280">
        <f t="shared" ref="F16:M16" si="7">F17+F18+F19</f>
        <v>0.87904359055543901</v>
      </c>
      <c r="G16" s="280">
        <f>G17+G18+G19</f>
        <v>1842000</v>
      </c>
      <c r="H16" s="281">
        <f t="shared" si="2"/>
        <v>0.94461538461538463</v>
      </c>
      <c r="I16" s="280">
        <f t="shared" si="7"/>
        <v>1814491</v>
      </c>
      <c r="J16" s="281">
        <f t="shared" si="3"/>
        <v>1</v>
      </c>
      <c r="K16" s="280">
        <f t="shared" si="7"/>
        <v>0</v>
      </c>
      <c r="L16" s="280">
        <f t="shared" si="7"/>
        <v>0</v>
      </c>
      <c r="M16" s="280">
        <f t="shared" si="7"/>
        <v>627000</v>
      </c>
      <c r="N16" s="281">
        <f t="shared" si="5"/>
        <v>1</v>
      </c>
      <c r="O16" s="282"/>
      <c r="P16" s="283"/>
      <c r="X16" s="283"/>
      <c r="Y16" s="283"/>
      <c r="Z16" s="283"/>
      <c r="AA16" s="283"/>
      <c r="CI16" s="283"/>
    </row>
    <row r="17" spans="1:89" s="251" customFormat="1" ht="33" x14ac:dyDescent="0.2">
      <c r="A17" s="247" t="s">
        <v>33</v>
      </c>
      <c r="B17" s="248" t="s">
        <v>277</v>
      </c>
      <c r="C17" s="245">
        <f>E17+G17+I17+K17+M17</f>
        <v>74000</v>
      </c>
      <c r="D17" s="246">
        <f>C17/$C$15</f>
        <v>1.4938398284748884E-2</v>
      </c>
      <c r="E17" s="245"/>
      <c r="F17" s="246">
        <f t="shared" si="1"/>
        <v>0</v>
      </c>
      <c r="G17" s="26"/>
      <c r="H17" s="246">
        <f t="shared" si="2"/>
        <v>0</v>
      </c>
      <c r="I17" s="26"/>
      <c r="J17" s="249">
        <f t="shared" si="3"/>
        <v>0</v>
      </c>
      <c r="K17" s="26"/>
      <c r="L17" s="26"/>
      <c r="M17" s="26">
        <f>'PL3-PA DA'!U14</f>
        <v>74000</v>
      </c>
      <c r="N17" s="249">
        <f t="shared" si="5"/>
        <v>0.11802232854864433</v>
      </c>
      <c r="O17" s="24"/>
      <c r="P17" s="250"/>
      <c r="X17" s="236"/>
      <c r="Y17" s="236"/>
      <c r="Z17" s="236"/>
    </row>
    <row r="18" spans="1:89" s="233" customFormat="1" ht="33" x14ac:dyDescent="0.2">
      <c r="A18" s="247" t="s">
        <v>34</v>
      </c>
      <c r="B18" s="248" t="s">
        <v>222</v>
      </c>
      <c r="C18" s="245">
        <f>E18+G18+I18+K18+M18</f>
        <v>40000</v>
      </c>
      <c r="D18" s="246">
        <f t="shared" si="0"/>
        <v>8.0748098836480459E-3</v>
      </c>
      <c r="E18" s="245">
        <f>'PL3-PA DA'!Q13</f>
        <v>20000</v>
      </c>
      <c r="F18" s="246">
        <f t="shared" si="1"/>
        <v>3.5575414542517954E-2</v>
      </c>
      <c r="G18" s="245">
        <f>'PL3-PA DA'!R13</f>
        <v>20000</v>
      </c>
      <c r="H18" s="246">
        <f t="shared" si="2"/>
        <v>1.0256410256410256E-2</v>
      </c>
      <c r="I18" s="245">
        <f>'[1]PL2 DA21'!P17</f>
        <v>0</v>
      </c>
      <c r="J18" s="249">
        <f t="shared" si="3"/>
        <v>0</v>
      </c>
      <c r="K18" s="245"/>
      <c r="L18" s="246"/>
      <c r="M18" s="246"/>
      <c r="N18" s="249">
        <f t="shared" si="5"/>
        <v>0</v>
      </c>
      <c r="O18" s="247"/>
      <c r="R18" s="235"/>
      <c r="S18" s="235"/>
      <c r="T18" s="235"/>
      <c r="U18" s="235"/>
      <c r="V18" s="235"/>
      <c r="X18" s="241">
        <f>X15+X23</f>
        <v>6303500</v>
      </c>
      <c r="AA18" s="233" t="s">
        <v>57</v>
      </c>
      <c r="CI18" s="236"/>
    </row>
    <row r="19" spans="1:89" s="233" customFormat="1" ht="16.5" x14ac:dyDescent="0.2">
      <c r="A19" s="247" t="s">
        <v>35</v>
      </c>
      <c r="B19" s="248" t="s">
        <v>22</v>
      </c>
      <c r="C19" s="245">
        <f>C22+C23+C24+C25+C26+C27+C29+C30+C32+C38+C39</f>
        <v>4663677</v>
      </c>
      <c r="D19" s="246">
        <f>C19/$C$15</f>
        <v>0.94145762834355162</v>
      </c>
      <c r="E19" s="245">
        <f>E22+E23+E24+E25+E26+E27+E29+E30+E32+E38+E39</f>
        <v>474186</v>
      </c>
      <c r="F19" s="252">
        <f t="shared" si="1"/>
        <v>0.84346817601292101</v>
      </c>
      <c r="G19" s="245">
        <f t="shared" ref="G19:M19" si="8">G22+G23+G24+G25+G26+G27+G29+G30+G32+G38+G39</f>
        <v>1822000</v>
      </c>
      <c r="H19" s="246">
        <f t="shared" si="2"/>
        <v>0.9343589743589743</v>
      </c>
      <c r="I19" s="245">
        <f t="shared" si="8"/>
        <v>1814491</v>
      </c>
      <c r="J19" s="246">
        <f t="shared" si="3"/>
        <v>1</v>
      </c>
      <c r="K19" s="245">
        <f t="shared" si="8"/>
        <v>0</v>
      </c>
      <c r="L19" s="246"/>
      <c r="M19" s="245">
        <f t="shared" si="8"/>
        <v>553000</v>
      </c>
      <c r="N19" s="246">
        <f t="shared" ref="N19:N36" si="9">M19/$M$15</f>
        <v>0.88197767145135564</v>
      </c>
      <c r="O19" s="247"/>
      <c r="P19" s="236"/>
      <c r="R19" s="235"/>
      <c r="S19" s="235"/>
      <c r="T19" s="235"/>
      <c r="U19" s="233" t="e">
        <f>(X18-X19)/X19*100</f>
        <v>#REF!</v>
      </c>
      <c r="X19" s="236" t="e">
        <f>#REF!+#REF!+#REF!</f>
        <v>#REF!</v>
      </c>
      <c r="AA19" s="233" t="s">
        <v>58</v>
      </c>
      <c r="CI19" s="236"/>
    </row>
    <row r="20" spans="1:89" s="238" customFormat="1" ht="44.1" customHeight="1" x14ac:dyDescent="0.2">
      <c r="A20" s="5"/>
      <c r="B20" s="253" t="s">
        <v>62</v>
      </c>
      <c r="C20" s="254">
        <f>E20+G20+I20+K20+M20</f>
        <v>289366</v>
      </c>
      <c r="D20" s="255">
        <f>C20/$C$15</f>
        <v>5.8414385919792512E-2</v>
      </c>
      <c r="E20" s="254">
        <f>'PL3-PA DA'!Q43</f>
        <v>136166</v>
      </c>
      <c r="F20" s="255">
        <f t="shared" si="1"/>
        <v>0.242208094829825</v>
      </c>
      <c r="G20" s="254">
        <f>'PL3-PA DA'!R43</f>
        <v>153200</v>
      </c>
      <c r="H20" s="255">
        <f t="shared" ref="H20:H39" si="10">G20/$G$15</f>
        <v>7.8564102564102567E-2</v>
      </c>
      <c r="I20" s="254">
        <f>'PL3-PA DA'!S43</f>
        <v>0</v>
      </c>
      <c r="J20" s="255">
        <f t="shared" ref="J20:J39" si="11">I20/$I$15</f>
        <v>0</v>
      </c>
      <c r="K20" s="254"/>
      <c r="L20" s="6"/>
      <c r="M20" s="254"/>
      <c r="N20" s="255">
        <f t="shared" si="9"/>
        <v>0</v>
      </c>
      <c r="O20" s="5"/>
      <c r="P20" s="256"/>
      <c r="R20" s="257"/>
      <c r="S20" s="257"/>
      <c r="T20" s="257"/>
      <c r="X20" s="256"/>
      <c r="CI20" s="256"/>
    </row>
    <row r="21" spans="1:89" s="238" customFormat="1" ht="19.5" customHeight="1" x14ac:dyDescent="0.2">
      <c r="A21" s="5"/>
      <c r="B21" s="253" t="s">
        <v>63</v>
      </c>
      <c r="C21" s="254"/>
      <c r="D21" s="252">
        <f t="shared" ref="D21:D39" si="12">C21/$C$15</f>
        <v>0</v>
      </c>
      <c r="E21" s="254"/>
      <c r="F21" s="252">
        <f t="shared" si="1"/>
        <v>0</v>
      </c>
      <c r="G21" s="254"/>
      <c r="H21" s="252">
        <f t="shared" si="10"/>
        <v>0</v>
      </c>
      <c r="I21" s="254"/>
      <c r="J21" s="255">
        <f t="shared" si="11"/>
        <v>0</v>
      </c>
      <c r="K21" s="254"/>
      <c r="L21" s="6"/>
      <c r="M21" s="254"/>
      <c r="N21" s="255">
        <f t="shared" si="9"/>
        <v>0</v>
      </c>
      <c r="O21" s="5"/>
      <c r="P21" s="256"/>
      <c r="R21" s="257"/>
      <c r="S21" s="257"/>
      <c r="T21" s="257"/>
      <c r="X21" s="256"/>
      <c r="CI21" s="256"/>
    </row>
    <row r="22" spans="1:89" s="233" customFormat="1" ht="19.5" customHeight="1" x14ac:dyDescent="0.2">
      <c r="A22" s="258">
        <v>1</v>
      </c>
      <c r="B22" s="259" t="s">
        <v>38</v>
      </c>
      <c r="C22" s="260">
        <f>E22+G22+I22+K22+M22</f>
        <v>10300</v>
      </c>
      <c r="D22" s="252">
        <f t="shared" si="12"/>
        <v>2.0792635450393717E-3</v>
      </c>
      <c r="E22" s="260">
        <f>'PL3-PA DA'!Q17</f>
        <v>10300</v>
      </c>
      <c r="F22" s="252">
        <f>E22/$E$15</f>
        <v>1.8321338489396748E-2</v>
      </c>
      <c r="G22" s="260">
        <f>'PL3-PA DA'!R17</f>
        <v>0</v>
      </c>
      <c r="H22" s="252">
        <f t="shared" si="10"/>
        <v>0</v>
      </c>
      <c r="I22" s="260">
        <f>'PL3-PA DA'!S17</f>
        <v>0</v>
      </c>
      <c r="J22" s="252">
        <f t="shared" si="11"/>
        <v>0</v>
      </c>
      <c r="K22" s="252">
        <f>'PL3-PA DA'!T17</f>
        <v>0</v>
      </c>
      <c r="L22" s="252"/>
      <c r="M22" s="252">
        <f>'PL3-PA DA'!U17</f>
        <v>0</v>
      </c>
      <c r="N22" s="252">
        <f t="shared" si="9"/>
        <v>0</v>
      </c>
      <c r="O22" s="247"/>
      <c r="P22" s="236"/>
      <c r="R22" s="235"/>
      <c r="X22" s="236"/>
    </row>
    <row r="23" spans="1:89" s="262" customFormat="1" ht="19.5" customHeight="1" x14ac:dyDescent="0.2">
      <c r="A23" s="258">
        <v>2</v>
      </c>
      <c r="B23" s="261" t="s">
        <v>39</v>
      </c>
      <c r="C23" s="260">
        <f t="shared" ref="C23:C40" si="13">E23+G23+I23+K23+M23</f>
        <v>59800</v>
      </c>
      <c r="D23" s="252">
        <f t="shared" si="12"/>
        <v>1.2071840776053827E-2</v>
      </c>
      <c r="E23" s="260">
        <f>'PL3-PA DA'!Q18</f>
        <v>59800</v>
      </c>
      <c r="F23" s="252">
        <f t="shared" ref="F23:F39" si="14">E23/$E$15</f>
        <v>0.1063704894821287</v>
      </c>
      <c r="G23" s="260">
        <f>'PL3-PA DA'!R18</f>
        <v>0</v>
      </c>
      <c r="H23" s="252">
        <f t="shared" si="10"/>
        <v>0</v>
      </c>
      <c r="I23" s="260">
        <f>'PL3-PA DA'!S18</f>
        <v>0</v>
      </c>
      <c r="J23" s="252">
        <f t="shared" si="11"/>
        <v>0</v>
      </c>
      <c r="K23" s="252">
        <f>'PL3-PA DA'!T18</f>
        <v>0</v>
      </c>
      <c r="L23" s="252"/>
      <c r="M23" s="252">
        <f>'PL3-PA DA'!U18</f>
        <v>0</v>
      </c>
      <c r="N23" s="252">
        <f t="shared" si="9"/>
        <v>0</v>
      </c>
      <c r="O23" s="252"/>
      <c r="X23" s="236"/>
      <c r="Y23" s="233"/>
      <c r="Z23" s="233"/>
      <c r="AA23" s="233"/>
    </row>
    <row r="24" spans="1:89" s="233" customFormat="1" ht="19.5" customHeight="1" x14ac:dyDescent="0.2">
      <c r="A24" s="258">
        <v>3</v>
      </c>
      <c r="B24" s="261" t="s">
        <v>27</v>
      </c>
      <c r="C24" s="260">
        <f>E24+G24+I24+K24+M24</f>
        <v>746637</v>
      </c>
      <c r="D24" s="252">
        <f t="shared" si="12"/>
        <v>0.15072379567743316</v>
      </c>
      <c r="E24" s="260">
        <f>'PL3-PA DA'!Q19</f>
        <v>0</v>
      </c>
      <c r="F24" s="252">
        <f t="shared" si="14"/>
        <v>0</v>
      </c>
      <c r="G24" s="260">
        <f>'PL3-PA DA'!R19</f>
        <v>746637</v>
      </c>
      <c r="H24" s="252">
        <f t="shared" si="10"/>
        <v>0.38289076923076926</v>
      </c>
      <c r="I24" s="260">
        <f>'PL3-PA DA'!S19</f>
        <v>0</v>
      </c>
      <c r="J24" s="252">
        <f t="shared" si="11"/>
        <v>0</v>
      </c>
      <c r="K24" s="252">
        <f>'PL3-PA DA'!T19</f>
        <v>0</v>
      </c>
      <c r="L24" s="252"/>
      <c r="M24" s="252">
        <f>'PL3-PA DA'!U19</f>
        <v>0</v>
      </c>
      <c r="N24" s="252">
        <f t="shared" si="9"/>
        <v>0</v>
      </c>
      <c r="O24" s="263"/>
      <c r="CI24" s="264"/>
      <c r="CK24" s="236"/>
    </row>
    <row r="25" spans="1:89" s="233" customFormat="1" ht="19.5" customHeight="1" x14ac:dyDescent="0.2">
      <c r="A25" s="258">
        <v>4</v>
      </c>
      <c r="B25" s="261" t="s">
        <v>40</v>
      </c>
      <c r="C25" s="260">
        <f t="shared" si="13"/>
        <v>24000</v>
      </c>
      <c r="D25" s="252">
        <f t="shared" si="12"/>
        <v>4.8448859301888272E-3</v>
      </c>
      <c r="E25" s="260">
        <f>'PL3-PA DA'!Q20</f>
        <v>24000</v>
      </c>
      <c r="F25" s="252">
        <f t="shared" si="14"/>
        <v>4.2690497451021547E-2</v>
      </c>
      <c r="G25" s="260">
        <f>'PL3-PA DA'!R20</f>
        <v>0</v>
      </c>
      <c r="H25" s="252">
        <f t="shared" si="10"/>
        <v>0</v>
      </c>
      <c r="I25" s="260">
        <f>'PL3-PA DA'!S20</f>
        <v>0</v>
      </c>
      <c r="J25" s="252">
        <f t="shared" si="11"/>
        <v>0</v>
      </c>
      <c r="K25" s="252">
        <f>'PL3-PA DA'!T20</f>
        <v>0</v>
      </c>
      <c r="L25" s="252"/>
      <c r="M25" s="252">
        <f>'PL3-PA DA'!U20</f>
        <v>0</v>
      </c>
      <c r="N25" s="252">
        <f t="shared" si="9"/>
        <v>0</v>
      </c>
      <c r="O25" s="247"/>
      <c r="X25" s="236"/>
      <c r="CI25" s="236"/>
    </row>
    <row r="26" spans="1:89" s="233" customFormat="1" ht="19.5" customHeight="1" x14ac:dyDescent="0.2">
      <c r="A26" s="258">
        <v>5</v>
      </c>
      <c r="B26" s="261" t="s">
        <v>42</v>
      </c>
      <c r="C26" s="260">
        <f>E26+G26+I26+K26+M26</f>
        <v>231852</v>
      </c>
      <c r="D26" s="252">
        <f t="shared" si="12"/>
        <v>4.6804020528589167E-2</v>
      </c>
      <c r="E26" s="260">
        <f>'PL3-PA DA'!Q21</f>
        <v>0</v>
      </c>
      <c r="F26" s="252">
        <f t="shared" si="14"/>
        <v>0</v>
      </c>
      <c r="G26" s="260">
        <f>'PL3-PA DA'!R21</f>
        <v>231852</v>
      </c>
      <c r="H26" s="252">
        <f t="shared" si="10"/>
        <v>0.11889846153846154</v>
      </c>
      <c r="I26" s="260">
        <f>'PL3-PA DA'!S21</f>
        <v>0</v>
      </c>
      <c r="J26" s="252">
        <f t="shared" si="11"/>
        <v>0</v>
      </c>
      <c r="K26" s="252">
        <f>'PL3-PA DA'!T21</f>
        <v>0</v>
      </c>
      <c r="L26" s="252"/>
      <c r="M26" s="252">
        <f>'PL3-PA DA'!U21</f>
        <v>0</v>
      </c>
      <c r="N26" s="252">
        <f t="shared" si="9"/>
        <v>0</v>
      </c>
      <c r="O26" s="263"/>
    </row>
    <row r="27" spans="1:89" s="233" customFormat="1" ht="19.5" customHeight="1" x14ac:dyDescent="0.2">
      <c r="A27" s="258">
        <v>6</v>
      </c>
      <c r="B27" s="259" t="s">
        <v>456</v>
      </c>
      <c r="C27" s="260">
        <f t="shared" si="13"/>
        <v>29200</v>
      </c>
      <c r="D27" s="252">
        <f t="shared" si="12"/>
        <v>5.8946112150630734E-3</v>
      </c>
      <c r="E27" s="260">
        <f>'PL3-PA DA'!Q22</f>
        <v>0</v>
      </c>
      <c r="F27" s="252">
        <f t="shared" si="14"/>
        <v>0</v>
      </c>
      <c r="G27" s="260">
        <f>'PL3-PA DA'!R22</f>
        <v>29200</v>
      </c>
      <c r="H27" s="252">
        <f t="shared" si="10"/>
        <v>1.4974358974358974E-2</v>
      </c>
      <c r="I27" s="260">
        <f>'PL3-PA DA'!S22</f>
        <v>0</v>
      </c>
      <c r="J27" s="252">
        <f t="shared" si="11"/>
        <v>0</v>
      </c>
      <c r="K27" s="252">
        <f>'PL3-PA DA'!T22</f>
        <v>0</v>
      </c>
      <c r="L27" s="252"/>
      <c r="M27" s="252">
        <f>'PL3-PA DA'!U22</f>
        <v>0</v>
      </c>
      <c r="N27" s="252">
        <f t="shared" si="9"/>
        <v>0</v>
      </c>
      <c r="O27" s="247"/>
    </row>
    <row r="28" spans="1:89" s="251" customFormat="1" ht="19.5" customHeight="1" x14ac:dyDescent="0.2">
      <c r="A28" s="5" t="s">
        <v>33</v>
      </c>
      <c r="B28" s="253" t="s">
        <v>61</v>
      </c>
      <c r="C28" s="254">
        <f t="shared" si="13"/>
        <v>29200</v>
      </c>
      <c r="D28" s="255">
        <f t="shared" si="12"/>
        <v>5.8946112150630734E-3</v>
      </c>
      <c r="E28" s="254">
        <f>'PL3-PA DA'!Q23</f>
        <v>0</v>
      </c>
      <c r="F28" s="255">
        <f t="shared" si="14"/>
        <v>0</v>
      </c>
      <c r="G28" s="254">
        <f>'PL3-PA DA'!R23</f>
        <v>29200</v>
      </c>
      <c r="H28" s="255">
        <f t="shared" si="10"/>
        <v>1.4974358974358974E-2</v>
      </c>
      <c r="I28" s="254">
        <f>'PL3-PA DA'!S23</f>
        <v>0</v>
      </c>
      <c r="J28" s="255">
        <f t="shared" si="11"/>
        <v>0</v>
      </c>
      <c r="K28" s="255">
        <f>'PL3-PA DA'!T23</f>
        <v>0</v>
      </c>
      <c r="L28" s="255"/>
      <c r="M28" s="255">
        <f>'PL3-PA DA'!U23</f>
        <v>0</v>
      </c>
      <c r="N28" s="255">
        <f t="shared" si="9"/>
        <v>0</v>
      </c>
      <c r="O28" s="24"/>
    </row>
    <row r="29" spans="1:89" s="233" customFormat="1" ht="19.5" customHeight="1" x14ac:dyDescent="0.2">
      <c r="A29" s="258">
        <v>7</v>
      </c>
      <c r="B29" s="261" t="s">
        <v>45</v>
      </c>
      <c r="C29" s="260">
        <f t="shared" si="13"/>
        <v>21300</v>
      </c>
      <c r="D29" s="252">
        <f t="shared" si="12"/>
        <v>4.2998362630425847E-3</v>
      </c>
      <c r="E29" s="260">
        <f>'PL3-PA DA'!Q24</f>
        <v>0</v>
      </c>
      <c r="F29" s="252">
        <f t="shared" si="14"/>
        <v>0</v>
      </c>
      <c r="G29" s="260">
        <f>'PL3-PA DA'!R24</f>
        <v>21300</v>
      </c>
      <c r="H29" s="252">
        <f t="shared" si="10"/>
        <v>1.0923076923076923E-2</v>
      </c>
      <c r="I29" s="260">
        <f>'PL3-PA DA'!S24</f>
        <v>0</v>
      </c>
      <c r="J29" s="255">
        <f t="shared" si="11"/>
        <v>0</v>
      </c>
      <c r="K29" s="252">
        <f>'PL3-PA DA'!T24</f>
        <v>0</v>
      </c>
      <c r="L29" s="252"/>
      <c r="M29" s="252">
        <f>'PL3-PA DA'!U24</f>
        <v>0</v>
      </c>
      <c r="N29" s="255">
        <f t="shared" si="9"/>
        <v>0</v>
      </c>
      <c r="O29" s="247"/>
    </row>
    <row r="30" spans="1:89" s="233" customFormat="1" ht="19.5" customHeight="1" x14ac:dyDescent="0.2">
      <c r="A30" s="47">
        <v>8</v>
      </c>
      <c r="B30" s="52" t="s">
        <v>226</v>
      </c>
      <c r="C30" s="260">
        <f t="shared" si="13"/>
        <v>32300</v>
      </c>
      <c r="D30" s="252">
        <f t="shared" si="12"/>
        <v>6.5204089810457968E-3</v>
      </c>
      <c r="E30" s="260">
        <f>'PL3-PA DA'!Q25</f>
        <v>5800</v>
      </c>
      <c r="F30" s="252">
        <f t="shared" si="14"/>
        <v>1.0316870217330208E-2</v>
      </c>
      <c r="G30" s="260">
        <f>'PL3-PA DA'!R25</f>
        <v>26500</v>
      </c>
      <c r="H30" s="252">
        <f t="shared" si="10"/>
        <v>1.358974358974359E-2</v>
      </c>
      <c r="I30" s="260">
        <f>'PL3-PA DA'!S25</f>
        <v>0</v>
      </c>
      <c r="J30" s="255">
        <f t="shared" si="11"/>
        <v>0</v>
      </c>
      <c r="K30" s="252">
        <f>'PL3-PA DA'!T25</f>
        <v>0</v>
      </c>
      <c r="L30" s="252"/>
      <c r="M30" s="252">
        <f>'PL3-PA DA'!U25</f>
        <v>0</v>
      </c>
      <c r="N30" s="255">
        <f t="shared" si="9"/>
        <v>0</v>
      </c>
      <c r="O30" s="247"/>
    </row>
    <row r="31" spans="1:89" s="251" customFormat="1" ht="19.5" customHeight="1" x14ac:dyDescent="0.2">
      <c r="A31" s="86" t="s">
        <v>33</v>
      </c>
      <c r="B31" s="87" t="s">
        <v>46</v>
      </c>
      <c r="C31" s="254">
        <f t="shared" si="13"/>
        <v>32300</v>
      </c>
      <c r="D31" s="255">
        <f t="shared" si="12"/>
        <v>6.5204089810457968E-3</v>
      </c>
      <c r="E31" s="254">
        <f>'PL3-PA DA'!Q26</f>
        <v>5800</v>
      </c>
      <c r="F31" s="255">
        <f t="shared" si="14"/>
        <v>1.0316870217330208E-2</v>
      </c>
      <c r="G31" s="254">
        <f>'PL3-PA DA'!R26</f>
        <v>26500</v>
      </c>
      <c r="H31" s="255">
        <f t="shared" si="10"/>
        <v>1.358974358974359E-2</v>
      </c>
      <c r="I31" s="254">
        <f>'PL3-PA DA'!S26</f>
        <v>0</v>
      </c>
      <c r="J31" s="255">
        <f t="shared" si="11"/>
        <v>0</v>
      </c>
      <c r="K31" s="255">
        <f>'PL3-PA DA'!T26</f>
        <v>0</v>
      </c>
      <c r="L31" s="255"/>
      <c r="M31" s="255">
        <f>'PL3-PA DA'!U26</f>
        <v>0</v>
      </c>
      <c r="N31" s="255">
        <f t="shared" si="9"/>
        <v>0</v>
      </c>
      <c r="O31" s="24"/>
    </row>
    <row r="32" spans="1:89" s="262" customFormat="1" ht="19.5" customHeight="1" x14ac:dyDescent="0.2">
      <c r="A32" s="258">
        <v>9</v>
      </c>
      <c r="B32" s="52" t="s">
        <v>64</v>
      </c>
      <c r="C32" s="260">
        <f>E32+G32+I32+K32+M32</f>
        <v>3481129</v>
      </c>
      <c r="D32" s="252">
        <f t="shared" si="12"/>
        <v>0.70273637138634593</v>
      </c>
      <c r="E32" s="260">
        <f>E33+E34+E35+E36+E37</f>
        <v>352786</v>
      </c>
      <c r="F32" s="252">
        <f t="shared" si="14"/>
        <v>0.62752540973983695</v>
      </c>
      <c r="G32" s="260">
        <f>G33+G34+G35+G36+G37</f>
        <v>766068</v>
      </c>
      <c r="H32" s="252">
        <f t="shared" si="10"/>
        <v>0.39285538461538461</v>
      </c>
      <c r="I32" s="260">
        <f>I33+I34+I35+I36+I37</f>
        <v>1809275</v>
      </c>
      <c r="J32" s="252">
        <f t="shared" si="11"/>
        <v>0.99712536463393864</v>
      </c>
      <c r="K32" s="260"/>
      <c r="L32" s="252"/>
      <c r="M32" s="260">
        <f>M33+M34+M35+M36+M37</f>
        <v>553000</v>
      </c>
      <c r="N32" s="252">
        <f t="shared" si="9"/>
        <v>0.88197767145135564</v>
      </c>
      <c r="O32" s="265"/>
    </row>
    <row r="33" spans="1:15" s="251" customFormat="1" ht="33" x14ac:dyDescent="0.2">
      <c r="A33" s="5" t="s">
        <v>33</v>
      </c>
      <c r="B33" s="266" t="s">
        <v>43</v>
      </c>
      <c r="C33" s="254">
        <f t="shared" si="13"/>
        <v>530373</v>
      </c>
      <c r="D33" s="255">
        <f t="shared" si="12"/>
        <v>0.10706652856050163</v>
      </c>
      <c r="E33" s="254">
        <f>'PL3-PA DA'!Q28</f>
        <v>63490</v>
      </c>
      <c r="F33" s="255">
        <f t="shared" si="14"/>
        <v>0.11293415346522326</v>
      </c>
      <c r="G33" s="254">
        <f>'PL3-PA DA'!R28</f>
        <v>64500</v>
      </c>
      <c r="H33" s="255">
        <f t="shared" si="10"/>
        <v>3.307692307692308E-2</v>
      </c>
      <c r="I33" s="254">
        <f>'PL3-PA DA'!S28</f>
        <v>402383</v>
      </c>
      <c r="J33" s="255">
        <f t="shared" si="11"/>
        <v>0.2217608133630864</v>
      </c>
      <c r="K33" s="255">
        <f>'PL3-PA DA'!T28</f>
        <v>0</v>
      </c>
      <c r="L33" s="255"/>
      <c r="M33" s="254">
        <f>'PL3-PA DA'!U28</f>
        <v>0</v>
      </c>
      <c r="N33" s="255">
        <f t="shared" si="9"/>
        <v>0</v>
      </c>
      <c r="O33" s="267"/>
    </row>
    <row r="34" spans="1:15" s="251" customFormat="1" ht="18.600000000000001" customHeight="1" x14ac:dyDescent="0.2">
      <c r="A34" s="5" t="s">
        <v>34</v>
      </c>
      <c r="B34" s="266" t="s">
        <v>28</v>
      </c>
      <c r="C34" s="254">
        <f t="shared" si="13"/>
        <v>1818314</v>
      </c>
      <c r="D34" s="255">
        <f t="shared" si="12"/>
        <v>0.36706349646939029</v>
      </c>
      <c r="E34" s="254">
        <f>'PL3-PA DA'!Q29</f>
        <v>40000</v>
      </c>
      <c r="F34" s="255">
        <f t="shared" si="14"/>
        <v>7.1150829085035908E-2</v>
      </c>
      <c r="G34" s="254">
        <f>'PL3-PA DA'!R29</f>
        <v>391422</v>
      </c>
      <c r="H34" s="255">
        <f t="shared" si="10"/>
        <v>0.20072923076923077</v>
      </c>
      <c r="I34" s="254">
        <f>'PL3-PA DA'!S29</f>
        <v>1386892</v>
      </c>
      <c r="J34" s="255">
        <f t="shared" si="11"/>
        <v>0.76434217640098523</v>
      </c>
      <c r="K34" s="255">
        <f>'PL3-PA DA'!T29</f>
        <v>0</v>
      </c>
      <c r="L34" s="255"/>
      <c r="M34" s="254">
        <f>'PL3-PA DA'!U29</f>
        <v>0</v>
      </c>
      <c r="N34" s="255">
        <f t="shared" si="9"/>
        <v>0</v>
      </c>
      <c r="O34" s="24"/>
    </row>
    <row r="35" spans="1:15" s="251" customFormat="1" ht="18.600000000000001" customHeight="1" x14ac:dyDescent="0.2">
      <c r="A35" s="5" t="s">
        <v>35</v>
      </c>
      <c r="B35" s="266" t="s">
        <v>41</v>
      </c>
      <c r="C35" s="254">
        <f t="shared" si="13"/>
        <v>123835</v>
      </c>
      <c r="D35" s="255">
        <f t="shared" si="12"/>
        <v>2.4998602048538893E-2</v>
      </c>
      <c r="E35" s="254">
        <f>'PL3-PA DA'!Q30</f>
        <v>57000</v>
      </c>
      <c r="F35" s="255">
        <f t="shared" si="14"/>
        <v>0.10138993144617618</v>
      </c>
      <c r="G35" s="254">
        <f>'PL3-PA DA'!R30</f>
        <v>0</v>
      </c>
      <c r="H35" s="255">
        <f t="shared" si="10"/>
        <v>0</v>
      </c>
      <c r="I35" s="254">
        <f>'PL3-PA DA'!S30</f>
        <v>20000</v>
      </c>
      <c r="J35" s="255">
        <f t="shared" si="11"/>
        <v>1.1022374869867086E-2</v>
      </c>
      <c r="K35" s="255">
        <f>'PL3-PA DA'!T30</f>
        <v>0</v>
      </c>
      <c r="L35" s="255"/>
      <c r="M35" s="254">
        <f>'PL3-PA DA'!U30</f>
        <v>46835</v>
      </c>
      <c r="N35" s="255">
        <f t="shared" si="9"/>
        <v>7.4696969696969692E-2</v>
      </c>
      <c r="O35" s="24"/>
    </row>
    <row r="36" spans="1:15" s="251" customFormat="1" ht="18.600000000000001" customHeight="1" x14ac:dyDescent="0.2">
      <c r="A36" s="5" t="s">
        <v>67</v>
      </c>
      <c r="B36" s="253" t="s">
        <v>25</v>
      </c>
      <c r="C36" s="254">
        <f t="shared" si="13"/>
        <v>16000</v>
      </c>
      <c r="D36" s="255">
        <f t="shared" si="12"/>
        <v>3.2299239534592183E-3</v>
      </c>
      <c r="E36" s="254">
        <f>'PL3-PA DA'!Q31</f>
        <v>16000</v>
      </c>
      <c r="F36" s="255">
        <f t="shared" si="14"/>
        <v>2.8460331634014364E-2</v>
      </c>
      <c r="G36" s="254">
        <f>'PL3-PA DA'!R31</f>
        <v>0</v>
      </c>
      <c r="H36" s="255">
        <f t="shared" si="10"/>
        <v>0</v>
      </c>
      <c r="I36" s="254">
        <f>'PL3-PA DA'!S31</f>
        <v>0</v>
      </c>
      <c r="J36" s="255">
        <f t="shared" si="11"/>
        <v>0</v>
      </c>
      <c r="K36" s="255">
        <f>'PL3-PA DA'!T31</f>
        <v>0</v>
      </c>
      <c r="L36" s="255"/>
      <c r="M36" s="254">
        <f>'PL3-PA DA'!U31</f>
        <v>0</v>
      </c>
      <c r="N36" s="255">
        <f t="shared" si="9"/>
        <v>0</v>
      </c>
      <c r="O36" s="267"/>
    </row>
    <row r="37" spans="1:15" s="251" customFormat="1" ht="33" customHeight="1" x14ac:dyDescent="0.2">
      <c r="A37" s="5" t="s">
        <v>68</v>
      </c>
      <c r="B37" s="266" t="s">
        <v>65</v>
      </c>
      <c r="C37" s="254">
        <f t="shared" si="13"/>
        <v>992607</v>
      </c>
      <c r="D37" s="255">
        <f t="shared" si="12"/>
        <v>0.20037782035445589</v>
      </c>
      <c r="E37" s="254">
        <f>'PL3-PA DA'!Q32</f>
        <v>176296</v>
      </c>
      <c r="F37" s="255">
        <f t="shared" si="14"/>
        <v>0.31359016410938728</v>
      </c>
      <c r="G37" s="254">
        <f>'PL3-PA DA'!R32</f>
        <v>310146</v>
      </c>
      <c r="H37" s="255">
        <f t="shared" si="10"/>
        <v>0.15904923076923078</v>
      </c>
      <c r="I37" s="254">
        <f>'PL3-PA DA'!S32</f>
        <v>0</v>
      </c>
      <c r="J37" s="255">
        <f t="shared" si="11"/>
        <v>0</v>
      </c>
      <c r="K37" s="254"/>
      <c r="L37" s="255"/>
      <c r="M37" s="254">
        <f>'PL3-PA DA'!U32</f>
        <v>506165</v>
      </c>
      <c r="N37" s="255">
        <f>M37/$M$15</f>
        <v>0.80728070175438593</v>
      </c>
      <c r="O37" s="267"/>
    </row>
    <row r="38" spans="1:15" s="233" customFormat="1" ht="51" customHeight="1" x14ac:dyDescent="0.2">
      <c r="A38" s="258">
        <v>10</v>
      </c>
      <c r="B38" s="261" t="s">
        <v>44</v>
      </c>
      <c r="C38" s="260">
        <f t="shared" si="13"/>
        <v>21500</v>
      </c>
      <c r="D38" s="252">
        <f t="shared" si="12"/>
        <v>4.3402103124608243E-3</v>
      </c>
      <c r="E38" s="260">
        <f>'PL3-PA DA'!Q33</f>
        <v>21500</v>
      </c>
      <c r="F38" s="252">
        <f t="shared" si="14"/>
        <v>3.8243570633206804E-2</v>
      </c>
      <c r="G38" s="260">
        <f>'PL3-PA DA'!R33</f>
        <v>0</v>
      </c>
      <c r="H38" s="252">
        <f t="shared" si="10"/>
        <v>0</v>
      </c>
      <c r="I38" s="260">
        <f>'PL3-PA DA'!S33</f>
        <v>0</v>
      </c>
      <c r="J38" s="255">
        <f t="shared" si="11"/>
        <v>0</v>
      </c>
      <c r="K38" s="252">
        <f>'PL3-PA DA'!T33</f>
        <v>0</v>
      </c>
      <c r="L38" s="252"/>
      <c r="M38" s="252">
        <f>'PL3-PA DA'!U33</f>
        <v>0</v>
      </c>
      <c r="N38" s="252"/>
      <c r="O38" s="247"/>
    </row>
    <row r="39" spans="1:15" s="233" customFormat="1" ht="21.95" customHeight="1" x14ac:dyDescent="0.2">
      <c r="A39" s="258">
        <v>11</v>
      </c>
      <c r="B39" s="268" t="s">
        <v>66</v>
      </c>
      <c r="C39" s="260">
        <f t="shared" si="13"/>
        <v>5659</v>
      </c>
      <c r="D39" s="252">
        <f t="shared" si="12"/>
        <v>1.1423837282891073E-3</v>
      </c>
      <c r="E39" s="260">
        <f>'PL3-PA DA'!Q34</f>
        <v>0</v>
      </c>
      <c r="F39" s="252">
        <f t="shared" si="14"/>
        <v>0</v>
      </c>
      <c r="G39" s="260">
        <f>'PL3-PA DA'!R34</f>
        <v>443</v>
      </c>
      <c r="H39" s="252">
        <f t="shared" si="10"/>
        <v>2.2717948717948717E-4</v>
      </c>
      <c r="I39" s="260">
        <f>'PL3-PA DA'!S34</f>
        <v>5216</v>
      </c>
      <c r="J39" s="255">
        <f t="shared" si="11"/>
        <v>2.8746353660613361E-3</v>
      </c>
      <c r="K39" s="252">
        <f>'PL3-PA DA'!T34</f>
        <v>0</v>
      </c>
      <c r="L39" s="252"/>
      <c r="M39" s="252">
        <f>'PL3-PA DA'!U34</f>
        <v>0</v>
      </c>
      <c r="N39" s="252"/>
      <c r="O39" s="247"/>
    </row>
    <row r="40" spans="1:15" s="233" customFormat="1" ht="21.95" customHeight="1" x14ac:dyDescent="0.2">
      <c r="A40" s="247" t="s">
        <v>1004</v>
      </c>
      <c r="B40" s="277" t="s">
        <v>1002</v>
      </c>
      <c r="C40" s="245">
        <f t="shared" si="13"/>
        <v>176000</v>
      </c>
      <c r="D40" s="246"/>
      <c r="E40" s="245">
        <v>68000</v>
      </c>
      <c r="F40" s="246"/>
      <c r="G40" s="4">
        <v>108000</v>
      </c>
      <c r="H40" s="246"/>
      <c r="I40" s="245"/>
      <c r="J40" s="246"/>
      <c r="K40" s="246"/>
      <c r="L40" s="246"/>
      <c r="M40" s="246"/>
      <c r="N40" s="246"/>
      <c r="O40" s="247"/>
    </row>
    <row r="41" spans="1:15" s="233" customFormat="1" ht="20.25" customHeight="1" x14ac:dyDescent="0.2">
      <c r="A41" s="247" t="s">
        <v>10</v>
      </c>
      <c r="B41" s="244" t="s">
        <v>59</v>
      </c>
      <c r="C41" s="245">
        <f>E41+G41+I41+K41+M41</f>
        <v>1724000</v>
      </c>
      <c r="D41" s="245"/>
      <c r="E41" s="245">
        <f>'PL3-PA DA'!Q371</f>
        <v>581000</v>
      </c>
      <c r="F41" s="246"/>
      <c r="G41" s="245"/>
      <c r="H41" s="245"/>
      <c r="I41" s="252">
        <f>'[1]PL2 DA21'!P32</f>
        <v>0</v>
      </c>
      <c r="J41" s="245"/>
      <c r="K41" s="245"/>
      <c r="L41" s="245"/>
      <c r="M41" s="245">
        <f>'PL3-PA DA'!U371</f>
        <v>1143000</v>
      </c>
      <c r="N41" s="245"/>
      <c r="O41" s="247" t="s">
        <v>229</v>
      </c>
    </row>
    <row r="42" spans="1:15" s="262" customFormat="1" ht="21" customHeight="1" x14ac:dyDescent="0.2">
      <c r="A42" s="269"/>
      <c r="B42" s="270"/>
      <c r="C42" s="271"/>
      <c r="D42" s="271"/>
      <c r="E42" s="271"/>
      <c r="F42" s="271"/>
      <c r="G42" s="271"/>
      <c r="H42" s="271"/>
      <c r="I42" s="271"/>
      <c r="J42" s="271"/>
      <c r="K42" s="271"/>
      <c r="L42" s="271"/>
      <c r="M42" s="271"/>
      <c r="N42" s="271"/>
      <c r="O42" s="269"/>
    </row>
    <row r="43" spans="1:15" s="273" customFormat="1" x14ac:dyDescent="0.2">
      <c r="A43" s="272"/>
      <c r="C43" s="274"/>
      <c r="D43" s="274"/>
      <c r="E43" s="274"/>
      <c r="F43" s="274"/>
      <c r="G43" s="274"/>
      <c r="H43" s="274"/>
      <c r="I43" s="274"/>
      <c r="J43" s="274"/>
      <c r="K43" s="274"/>
      <c r="L43" s="274"/>
      <c r="M43" s="274"/>
      <c r="N43" s="274"/>
      <c r="O43" s="272"/>
    </row>
    <row r="44" spans="1:15" s="273" customFormat="1" x14ac:dyDescent="0.2">
      <c r="A44" s="272"/>
      <c r="B44" s="3" t="s">
        <v>266</v>
      </c>
      <c r="C44" s="274"/>
      <c r="D44" s="274"/>
      <c r="E44" s="274"/>
      <c r="F44" s="274"/>
      <c r="G44" s="274"/>
      <c r="H44" s="274"/>
      <c r="I44" s="274"/>
      <c r="J44" s="274"/>
      <c r="K44" s="274"/>
      <c r="L44" s="274"/>
      <c r="M44" s="274"/>
      <c r="N44" s="274"/>
      <c r="O44" s="272"/>
    </row>
    <row r="45" spans="1:15" x14ac:dyDescent="0.2">
      <c r="B45" s="2" t="s">
        <v>267</v>
      </c>
    </row>
    <row r="47" spans="1:15" x14ac:dyDescent="0.2">
      <c r="E47" s="275"/>
      <c r="G47" s="275"/>
      <c r="I47" s="275"/>
    </row>
    <row r="50" spans="2:2" x14ac:dyDescent="0.2">
      <c r="B50" s="276"/>
    </row>
  </sheetData>
  <mergeCells count="20">
    <mergeCell ref="R11:U11"/>
    <mergeCell ref="X11:AA11"/>
    <mergeCell ref="O9:O12"/>
    <mergeCell ref="C9:N9"/>
    <mergeCell ref="P10:P11"/>
    <mergeCell ref="E11:F11"/>
    <mergeCell ref="G11:H11"/>
    <mergeCell ref="I11:J11"/>
    <mergeCell ref="K11:L11"/>
    <mergeCell ref="M11:N11"/>
    <mergeCell ref="E10:N10"/>
    <mergeCell ref="A9:A12"/>
    <mergeCell ref="A2:O2"/>
    <mergeCell ref="A3:O3"/>
    <mergeCell ref="A4:O4"/>
    <mergeCell ref="A5:O5"/>
    <mergeCell ref="M8:O8"/>
    <mergeCell ref="A6:O6"/>
    <mergeCell ref="B9:B12"/>
    <mergeCell ref="C10:D11"/>
  </mergeCells>
  <printOptions horizontalCentered="1"/>
  <pageMargins left="0.39370078740157483" right="0.39370078740157483" top="0.59055118110236227" bottom="0.59055118110236227" header="0.31496062992125984" footer="0.31496062992125984"/>
  <pageSetup paperSize="9" scale="71" fitToHeight="0" orientation="landscape" verticalDpi="300" r:id="rId1"/>
  <headerFooter>
    <oddHeader>&amp;R&amp;"Times New Roman,Regular"&amp;13PL2: TH2024 (nguồn vốn)</oddHeader>
    <oddFooter>&amp;R&amp;"Times New Roman,Regular"&amp;12&amp;P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V574"/>
  <sheetViews>
    <sheetView showGridLines="0" showZeros="0" view="pageBreakPreview" zoomScale="70" zoomScaleNormal="55" zoomScaleSheetLayoutView="70" workbookViewId="0">
      <pane ySplit="10" topLeftCell="A17" activePane="bottomLeft" state="frozen"/>
      <selection pane="bottomLeft" activeCell="D7" sqref="D7:D9"/>
    </sheetView>
  </sheetViews>
  <sheetFormatPr defaultColWidth="9.375" defaultRowHeight="15.75" x14ac:dyDescent="0.2"/>
  <cols>
    <col min="1" max="1" width="5.25" style="71" customWidth="1"/>
    <col min="2" max="2" width="33" style="125" customWidth="1"/>
    <col min="3" max="3" width="6.125" style="71" customWidth="1"/>
    <col min="4" max="4" width="9.125" style="126" customWidth="1"/>
    <col min="5" max="5" width="9.125" style="126" hidden="1" customWidth="1"/>
    <col min="6" max="6" width="15.875" style="126" customWidth="1"/>
    <col min="7" max="8" width="15.875" style="126" hidden="1" customWidth="1"/>
    <col min="9" max="9" width="7.375" style="71" customWidth="1"/>
    <col min="10" max="10" width="19.75" style="126" customWidth="1"/>
    <col min="11" max="11" width="12.625" style="46" customWidth="1"/>
    <col min="12" max="12" width="12.875" style="46" customWidth="1"/>
    <col min="13" max="13" width="13.125" style="46" customWidth="1"/>
    <col min="14" max="14" width="12.125" style="127" customWidth="1"/>
    <col min="15" max="15" width="11.875" style="46" hidden="1" customWidth="1"/>
    <col min="16" max="16" width="11.875" style="46" customWidth="1"/>
    <col min="17" max="18" width="11.375" style="46" customWidth="1"/>
    <col min="19" max="19" width="11.25" style="46" customWidth="1"/>
    <col min="20" max="20" width="10.625" style="46" hidden="1" customWidth="1"/>
    <col min="21" max="21" width="11.25" style="46" customWidth="1"/>
    <col min="22" max="22" width="7.375" style="46" customWidth="1"/>
    <col min="23" max="16384" width="9.375" style="46"/>
  </cols>
  <sheetData>
    <row r="1" spans="1:22" ht="20.25" x14ac:dyDescent="0.3">
      <c r="A1" s="478" t="s">
        <v>270</v>
      </c>
      <c r="B1" s="478"/>
      <c r="C1" s="478"/>
      <c r="D1" s="478"/>
      <c r="E1" s="478"/>
      <c r="F1" s="478"/>
      <c r="G1" s="478"/>
      <c r="H1" s="478"/>
      <c r="I1" s="478"/>
      <c r="J1" s="478"/>
      <c r="K1" s="478"/>
      <c r="L1" s="478"/>
      <c r="M1" s="478"/>
      <c r="N1" s="478"/>
      <c r="O1" s="478"/>
      <c r="P1" s="478"/>
      <c r="Q1" s="478"/>
      <c r="R1" s="478"/>
      <c r="S1" s="478"/>
      <c r="T1" s="478"/>
      <c r="U1" s="478"/>
      <c r="V1" s="478"/>
    </row>
    <row r="2" spans="1:22" ht="31.5" customHeight="1" x14ac:dyDescent="0.2">
      <c r="A2" s="491" t="s">
        <v>1005</v>
      </c>
      <c r="B2" s="491"/>
      <c r="C2" s="491"/>
      <c r="D2" s="491"/>
      <c r="E2" s="491"/>
      <c r="F2" s="491"/>
      <c r="G2" s="491"/>
      <c r="H2" s="491"/>
      <c r="I2" s="491"/>
      <c r="J2" s="491"/>
      <c r="K2" s="491"/>
      <c r="L2" s="491"/>
      <c r="M2" s="491"/>
      <c r="N2" s="491"/>
      <c r="O2" s="491"/>
      <c r="P2" s="491"/>
      <c r="Q2" s="491"/>
      <c r="R2" s="491"/>
      <c r="S2" s="491"/>
      <c r="T2" s="491"/>
      <c r="U2" s="491"/>
      <c r="V2" s="491"/>
    </row>
    <row r="3" spans="1:22" ht="18" hidden="1" customHeight="1" x14ac:dyDescent="0.2">
      <c r="A3" s="479" t="str">
        <f>[2]PL1a_2023!A3</f>
        <v>(Kèm theo Tờ trình số  204/TTr-UBND ngày  25/11/2023 của Ủy ban nhân dân Tỉnh)</v>
      </c>
      <c r="B3" s="479"/>
      <c r="C3" s="479"/>
      <c r="D3" s="479"/>
      <c r="E3" s="479"/>
      <c r="F3" s="479"/>
      <c r="G3" s="479"/>
      <c r="H3" s="479"/>
      <c r="I3" s="479"/>
      <c r="J3" s="479"/>
      <c r="K3" s="479"/>
      <c r="L3" s="479"/>
      <c r="M3" s="479"/>
      <c r="N3" s="479"/>
      <c r="O3" s="479"/>
      <c r="P3" s="479"/>
      <c r="Q3" s="479"/>
      <c r="R3" s="479"/>
      <c r="S3" s="479"/>
      <c r="T3" s="479"/>
      <c r="U3" s="479"/>
      <c r="V3" s="479"/>
    </row>
    <row r="4" spans="1:22" ht="18" customHeight="1" x14ac:dyDescent="0.2">
      <c r="A4" s="479" t="str">
        <f>'PL1-TH'!A5:F5</f>
        <v>(Kèm theo Nghị quyết số 48/NQ-HĐND ngày 09 tháng 12 năm 2023 của HĐND tỉnh Đồng Tháp)</v>
      </c>
      <c r="B4" s="479"/>
      <c r="C4" s="479"/>
      <c r="D4" s="479"/>
      <c r="E4" s="479"/>
      <c r="F4" s="479"/>
      <c r="G4" s="479"/>
      <c r="H4" s="479"/>
      <c r="I4" s="479"/>
      <c r="J4" s="479"/>
      <c r="K4" s="479"/>
      <c r="L4" s="479"/>
      <c r="M4" s="479"/>
      <c r="N4" s="479"/>
      <c r="O4" s="479"/>
      <c r="P4" s="479"/>
      <c r="Q4" s="479"/>
      <c r="R4" s="479"/>
      <c r="S4" s="479"/>
      <c r="T4" s="479"/>
      <c r="U4" s="479"/>
      <c r="V4" s="479"/>
    </row>
    <row r="5" spans="1:22" ht="18" customHeight="1" x14ac:dyDescent="0.2">
      <c r="A5" s="164"/>
      <c r="B5" s="164"/>
      <c r="C5" s="164"/>
      <c r="D5" s="164"/>
      <c r="E5" s="164"/>
      <c r="F5" s="164"/>
      <c r="G5" s="164"/>
      <c r="H5" s="164"/>
      <c r="I5" s="164"/>
      <c r="J5" s="164"/>
      <c r="K5" s="164"/>
      <c r="L5" s="164"/>
      <c r="M5" s="164"/>
      <c r="N5" s="164"/>
      <c r="O5" s="164"/>
      <c r="P5" s="164"/>
      <c r="Q5" s="164"/>
      <c r="R5" s="164"/>
      <c r="S5" s="164"/>
      <c r="T5" s="164"/>
      <c r="U5" s="164"/>
      <c r="V5" s="164"/>
    </row>
    <row r="6" spans="1:22" s="64" customFormat="1" ht="25.5" customHeight="1" x14ac:dyDescent="0.2">
      <c r="A6" s="59"/>
      <c r="B6" s="60"/>
      <c r="C6" s="59"/>
      <c r="D6" s="61"/>
      <c r="E6" s="61"/>
      <c r="F6" s="62"/>
      <c r="G6" s="62"/>
      <c r="H6" s="62"/>
      <c r="I6" s="59"/>
      <c r="J6" s="63"/>
      <c r="M6" s="46"/>
      <c r="N6" s="65"/>
      <c r="O6" s="66"/>
      <c r="P6" s="46"/>
      <c r="Q6" s="66"/>
      <c r="R6" s="480" t="s">
        <v>709</v>
      </c>
      <c r="S6" s="480"/>
      <c r="T6" s="480"/>
      <c r="U6" s="480"/>
      <c r="V6" s="480"/>
    </row>
    <row r="7" spans="1:22" s="67" customFormat="1" ht="26.45" customHeight="1" x14ac:dyDescent="0.2">
      <c r="A7" s="481" t="s">
        <v>15</v>
      </c>
      <c r="B7" s="481" t="s">
        <v>16</v>
      </c>
      <c r="C7" s="481" t="s">
        <v>447</v>
      </c>
      <c r="D7" s="481" t="s">
        <v>448</v>
      </c>
      <c r="E7" s="286"/>
      <c r="F7" s="481" t="s">
        <v>29</v>
      </c>
      <c r="G7" s="286"/>
      <c r="H7" s="286"/>
      <c r="I7" s="481" t="s">
        <v>449</v>
      </c>
      <c r="J7" s="484" t="s">
        <v>17</v>
      </c>
      <c r="K7" s="484"/>
      <c r="L7" s="484"/>
      <c r="M7" s="481" t="s">
        <v>231</v>
      </c>
      <c r="N7" s="485" t="s">
        <v>450</v>
      </c>
      <c r="O7" s="481" t="s">
        <v>272</v>
      </c>
      <c r="P7" s="488" t="s">
        <v>708</v>
      </c>
      <c r="Q7" s="489"/>
      <c r="R7" s="489"/>
      <c r="S7" s="489"/>
      <c r="T7" s="489"/>
      <c r="U7" s="490"/>
      <c r="V7" s="484" t="s">
        <v>18</v>
      </c>
    </row>
    <row r="8" spans="1:22" s="67" customFormat="1" ht="26.45" customHeight="1" x14ac:dyDescent="0.2">
      <c r="A8" s="482"/>
      <c r="B8" s="482"/>
      <c r="C8" s="482"/>
      <c r="D8" s="482"/>
      <c r="E8" s="287"/>
      <c r="F8" s="482"/>
      <c r="G8" s="287"/>
      <c r="H8" s="287"/>
      <c r="I8" s="482"/>
      <c r="J8" s="484" t="s">
        <v>30</v>
      </c>
      <c r="K8" s="484" t="s">
        <v>451</v>
      </c>
      <c r="L8" s="484"/>
      <c r="M8" s="482"/>
      <c r="N8" s="486"/>
      <c r="O8" s="482"/>
      <c r="P8" s="484" t="s">
        <v>19</v>
      </c>
      <c r="Q8" s="492" t="s">
        <v>20</v>
      </c>
      <c r="R8" s="492"/>
      <c r="S8" s="492"/>
      <c r="T8" s="492"/>
      <c r="U8" s="492"/>
      <c r="V8" s="484"/>
    </row>
    <row r="9" spans="1:22" s="67" customFormat="1" ht="98.1" customHeight="1" x14ac:dyDescent="0.2">
      <c r="A9" s="483"/>
      <c r="B9" s="483"/>
      <c r="C9" s="483"/>
      <c r="D9" s="483"/>
      <c r="E9" s="288"/>
      <c r="F9" s="483"/>
      <c r="G9" s="288"/>
      <c r="H9" s="288"/>
      <c r="I9" s="483"/>
      <c r="J9" s="484"/>
      <c r="K9" s="289" t="s">
        <v>19</v>
      </c>
      <c r="L9" s="289" t="s">
        <v>452</v>
      </c>
      <c r="M9" s="483"/>
      <c r="N9" s="487"/>
      <c r="O9" s="483"/>
      <c r="P9" s="484"/>
      <c r="Q9" s="289" t="s">
        <v>36</v>
      </c>
      <c r="R9" s="289" t="s">
        <v>21</v>
      </c>
      <c r="S9" s="289" t="s">
        <v>273</v>
      </c>
      <c r="T9" s="289" t="s">
        <v>274</v>
      </c>
      <c r="U9" s="289" t="s">
        <v>275</v>
      </c>
      <c r="V9" s="484"/>
    </row>
    <row r="10" spans="1:22" s="71" customFormat="1" ht="15" customHeight="1" x14ac:dyDescent="0.2">
      <c r="A10" s="68">
        <v>1</v>
      </c>
      <c r="B10" s="68">
        <v>2</v>
      </c>
      <c r="C10" s="68">
        <v>3</v>
      </c>
      <c r="D10" s="68">
        <v>4</v>
      </c>
      <c r="E10" s="68"/>
      <c r="F10" s="68">
        <v>5</v>
      </c>
      <c r="G10" s="68"/>
      <c r="H10" s="68"/>
      <c r="I10" s="68">
        <v>6</v>
      </c>
      <c r="J10" s="68">
        <v>7</v>
      </c>
      <c r="K10" s="68">
        <v>8</v>
      </c>
      <c r="L10" s="68">
        <v>9</v>
      </c>
      <c r="M10" s="68">
        <v>10</v>
      </c>
      <c r="N10" s="68">
        <v>11</v>
      </c>
      <c r="O10" s="68"/>
      <c r="P10" s="69">
        <v>12</v>
      </c>
      <c r="Q10" s="70">
        <v>13</v>
      </c>
      <c r="R10" s="70">
        <v>14</v>
      </c>
      <c r="S10" s="70">
        <v>15</v>
      </c>
      <c r="T10" s="70"/>
      <c r="U10" s="70">
        <v>16</v>
      </c>
      <c r="V10" s="70">
        <v>17</v>
      </c>
    </row>
    <row r="11" spans="1:22" s="73" customFormat="1" ht="32.1" customHeight="1" x14ac:dyDescent="0.2">
      <c r="A11" s="129"/>
      <c r="B11" s="72" t="s">
        <v>2</v>
      </c>
      <c r="C11" s="129">
        <f>C12+C371</f>
        <v>106</v>
      </c>
      <c r="D11" s="131"/>
      <c r="E11" s="131"/>
      <c r="F11" s="129"/>
      <c r="G11" s="129"/>
      <c r="H11" s="129"/>
      <c r="I11" s="129"/>
      <c r="J11" s="131"/>
      <c r="K11" s="129"/>
      <c r="L11" s="129"/>
      <c r="M11" s="130">
        <f t="shared" ref="M11:U11" si="0">M12+M371</f>
        <v>14886995</v>
      </c>
      <c r="N11" s="130">
        <f t="shared" si="0"/>
        <v>7194174</v>
      </c>
      <c r="O11" s="130">
        <f t="shared" si="0"/>
        <v>6772096</v>
      </c>
      <c r="P11" s="130">
        <f t="shared" si="0"/>
        <v>6501677</v>
      </c>
      <c r="Q11" s="130">
        <f t="shared" si="0"/>
        <v>1075186</v>
      </c>
      <c r="R11" s="130">
        <f>R12+R371</f>
        <v>1842000</v>
      </c>
      <c r="S11" s="130">
        <f t="shared" si="0"/>
        <v>1814491</v>
      </c>
      <c r="T11" s="130">
        <f t="shared" si="0"/>
        <v>0</v>
      </c>
      <c r="U11" s="130">
        <f t="shared" si="0"/>
        <v>1770000</v>
      </c>
      <c r="V11" s="128"/>
    </row>
    <row r="12" spans="1:22" s="64" customFormat="1" ht="25.5" customHeight="1" x14ac:dyDescent="0.2">
      <c r="A12" s="74" t="s">
        <v>3</v>
      </c>
      <c r="B12" s="132" t="s">
        <v>453</v>
      </c>
      <c r="C12" s="74">
        <f>C13+C14+C15</f>
        <v>106</v>
      </c>
      <c r="D12" s="75"/>
      <c r="E12" s="75"/>
      <c r="F12" s="75"/>
      <c r="G12" s="75"/>
      <c r="H12" s="75"/>
      <c r="I12" s="74"/>
      <c r="J12" s="75"/>
      <c r="K12" s="76"/>
      <c r="L12" s="76"/>
      <c r="M12" s="76">
        <f>M13+M14+M15</f>
        <v>14886995</v>
      </c>
      <c r="N12" s="76">
        <f t="shared" ref="N12:U12" si="1">N13+N14+N15</f>
        <v>7194174</v>
      </c>
      <c r="O12" s="76">
        <f t="shared" si="1"/>
        <v>5169096</v>
      </c>
      <c r="P12" s="133">
        <f t="shared" si="1"/>
        <v>4777677</v>
      </c>
      <c r="Q12" s="76">
        <f t="shared" si="1"/>
        <v>494186</v>
      </c>
      <c r="R12" s="76">
        <f t="shared" si="1"/>
        <v>1842000</v>
      </c>
      <c r="S12" s="76">
        <f t="shared" si="1"/>
        <v>1814491</v>
      </c>
      <c r="T12" s="76">
        <f t="shared" si="1"/>
        <v>0</v>
      </c>
      <c r="U12" s="76">
        <f t="shared" si="1"/>
        <v>627000</v>
      </c>
      <c r="V12" s="77"/>
    </row>
    <row r="13" spans="1:22" s="64" customFormat="1" ht="31.5" x14ac:dyDescent="0.2">
      <c r="A13" s="74" t="s">
        <v>4</v>
      </c>
      <c r="B13" s="53" t="s">
        <v>223</v>
      </c>
      <c r="C13" s="74">
        <v>4</v>
      </c>
      <c r="D13" s="75"/>
      <c r="E13" s="75"/>
      <c r="F13" s="75"/>
      <c r="G13" s="75"/>
      <c r="H13" s="75"/>
      <c r="I13" s="74"/>
      <c r="J13" s="75"/>
      <c r="K13" s="77"/>
      <c r="L13" s="77"/>
      <c r="M13" s="77">
        <f>M48</f>
        <v>120142</v>
      </c>
      <c r="N13" s="77">
        <f t="shared" ref="N13:U13" si="2">N48</f>
        <v>87729</v>
      </c>
      <c r="O13" s="77">
        <f t="shared" si="2"/>
        <v>406000</v>
      </c>
      <c r="P13" s="77">
        <f t="shared" si="2"/>
        <v>40000</v>
      </c>
      <c r="Q13" s="77">
        <f t="shared" si="2"/>
        <v>20000</v>
      </c>
      <c r="R13" s="77">
        <f t="shared" si="2"/>
        <v>20000</v>
      </c>
      <c r="S13" s="77">
        <f t="shared" si="2"/>
        <v>0</v>
      </c>
      <c r="T13" s="77">
        <f t="shared" si="2"/>
        <v>0</v>
      </c>
      <c r="U13" s="77">
        <f t="shared" si="2"/>
        <v>0</v>
      </c>
      <c r="V13" s="77"/>
    </row>
    <row r="14" spans="1:22" s="64" customFormat="1" ht="47.25" x14ac:dyDescent="0.2">
      <c r="A14" s="74" t="s">
        <v>10</v>
      </c>
      <c r="B14" s="53" t="s">
        <v>277</v>
      </c>
      <c r="C14" s="74">
        <v>0</v>
      </c>
      <c r="D14" s="75"/>
      <c r="E14" s="75"/>
      <c r="F14" s="75"/>
      <c r="G14" s="75"/>
      <c r="H14" s="75"/>
      <c r="I14" s="74"/>
      <c r="J14" s="75"/>
      <c r="K14" s="77"/>
      <c r="L14" s="77"/>
      <c r="M14" s="77">
        <f>M56</f>
        <v>142855</v>
      </c>
      <c r="N14" s="77">
        <f t="shared" ref="N14:U14" si="3">N56</f>
        <v>48215</v>
      </c>
      <c r="O14" s="77">
        <f t="shared" si="3"/>
        <v>0</v>
      </c>
      <c r="P14" s="77">
        <f t="shared" si="3"/>
        <v>74000</v>
      </c>
      <c r="Q14" s="77">
        <f t="shared" si="3"/>
        <v>0</v>
      </c>
      <c r="R14" s="77">
        <f t="shared" si="3"/>
        <v>0</v>
      </c>
      <c r="S14" s="77">
        <f t="shared" si="3"/>
        <v>0</v>
      </c>
      <c r="T14" s="77">
        <f t="shared" si="3"/>
        <v>0</v>
      </c>
      <c r="U14" s="77">
        <f t="shared" si="3"/>
        <v>74000</v>
      </c>
      <c r="V14" s="77"/>
    </row>
    <row r="15" spans="1:22" s="64" customFormat="1" ht="23.25" customHeight="1" x14ac:dyDescent="0.2">
      <c r="A15" s="74" t="s">
        <v>12</v>
      </c>
      <c r="B15" s="53" t="s">
        <v>454</v>
      </c>
      <c r="C15" s="74">
        <f>C16</f>
        <v>102</v>
      </c>
      <c r="D15" s="75"/>
      <c r="E15" s="75"/>
      <c r="F15" s="75"/>
      <c r="G15" s="75"/>
      <c r="H15" s="75"/>
      <c r="I15" s="74"/>
      <c r="J15" s="75"/>
      <c r="K15" s="77"/>
      <c r="L15" s="77"/>
      <c r="M15" s="77">
        <f>M16</f>
        <v>14623998</v>
      </c>
      <c r="N15" s="77">
        <f t="shared" ref="N15:U15" si="4">N16</f>
        <v>7058230</v>
      </c>
      <c r="O15" s="77">
        <f t="shared" si="4"/>
        <v>4763096</v>
      </c>
      <c r="P15" s="77">
        <f t="shared" si="4"/>
        <v>4663677</v>
      </c>
      <c r="Q15" s="77">
        <f t="shared" si="4"/>
        <v>474186</v>
      </c>
      <c r="R15" s="77">
        <f t="shared" si="4"/>
        <v>1822000</v>
      </c>
      <c r="S15" s="77">
        <f t="shared" si="4"/>
        <v>1814491</v>
      </c>
      <c r="T15" s="77">
        <f t="shared" si="4"/>
        <v>0</v>
      </c>
      <c r="U15" s="77">
        <f t="shared" si="4"/>
        <v>553000</v>
      </c>
      <c r="V15" s="77"/>
    </row>
    <row r="16" spans="1:22" s="83" customFormat="1" ht="21.6" customHeight="1" x14ac:dyDescent="0.2">
      <c r="A16" s="78" t="s">
        <v>455</v>
      </c>
      <c r="B16" s="79" t="s">
        <v>258</v>
      </c>
      <c r="C16" s="78">
        <f>C17+C18+C19+C20+C21+C22+C24+C25+C27+C33+C34</f>
        <v>102</v>
      </c>
      <c r="D16" s="80"/>
      <c r="E16" s="80"/>
      <c r="F16" s="81"/>
      <c r="G16" s="81"/>
      <c r="H16" s="81"/>
      <c r="I16" s="93"/>
      <c r="J16" s="80"/>
      <c r="K16" s="82"/>
      <c r="L16" s="82"/>
      <c r="M16" s="94">
        <f>M17+M18+M19+M20+M21+M22+M24+M25+M27+M33+M34</f>
        <v>14623998</v>
      </c>
      <c r="N16" s="94">
        <f t="shared" ref="N16:U16" si="5">N17+N18+N19+N20+N21+N22+N24+N25+N27+N33+N34</f>
        <v>7058230</v>
      </c>
      <c r="O16" s="94">
        <f t="shared" si="5"/>
        <v>4763096</v>
      </c>
      <c r="P16" s="94">
        <f t="shared" si="5"/>
        <v>4663677</v>
      </c>
      <c r="Q16" s="94">
        <f t="shared" si="5"/>
        <v>474186</v>
      </c>
      <c r="R16" s="94">
        <f t="shared" si="5"/>
        <v>1822000</v>
      </c>
      <c r="S16" s="94">
        <f t="shared" si="5"/>
        <v>1814491</v>
      </c>
      <c r="T16" s="94">
        <f t="shared" si="5"/>
        <v>0</v>
      </c>
      <c r="U16" s="94">
        <f t="shared" si="5"/>
        <v>553000</v>
      </c>
      <c r="V16" s="82"/>
    </row>
    <row r="17" spans="1:22" s="64" customFormat="1" x14ac:dyDescent="0.2">
      <c r="A17" s="47">
        <v>1</v>
      </c>
      <c r="B17" s="52" t="s">
        <v>38</v>
      </c>
      <c r="C17" s="47">
        <f>C60</f>
        <v>2</v>
      </c>
      <c r="D17" s="49"/>
      <c r="E17" s="49"/>
      <c r="F17" s="84"/>
      <c r="G17" s="84"/>
      <c r="H17" s="84"/>
      <c r="I17" s="85"/>
      <c r="J17" s="49"/>
      <c r="K17" s="85"/>
      <c r="L17" s="85"/>
      <c r="M17" s="85">
        <f>M60</f>
        <v>15500</v>
      </c>
      <c r="N17" s="85">
        <f t="shared" ref="N17:U17" si="6">N60</f>
        <v>5200</v>
      </c>
      <c r="O17" s="85">
        <f t="shared" si="6"/>
        <v>14000</v>
      </c>
      <c r="P17" s="85">
        <f t="shared" si="6"/>
        <v>10300</v>
      </c>
      <c r="Q17" s="85">
        <f t="shared" si="6"/>
        <v>10300</v>
      </c>
      <c r="R17" s="85">
        <f t="shared" si="6"/>
        <v>0</v>
      </c>
      <c r="S17" s="85">
        <f t="shared" si="6"/>
        <v>0</v>
      </c>
      <c r="T17" s="85">
        <f t="shared" si="6"/>
        <v>0</v>
      </c>
      <c r="U17" s="85">
        <f t="shared" si="6"/>
        <v>0</v>
      </c>
      <c r="V17" s="77"/>
    </row>
    <row r="18" spans="1:22" s="64" customFormat="1" x14ac:dyDescent="0.2">
      <c r="A18" s="47">
        <v>2</v>
      </c>
      <c r="B18" s="52" t="s">
        <v>39</v>
      </c>
      <c r="C18" s="47">
        <f>C67</f>
        <v>5</v>
      </c>
      <c r="D18" s="49"/>
      <c r="E18" s="49"/>
      <c r="F18" s="84"/>
      <c r="G18" s="84"/>
      <c r="H18" s="84"/>
      <c r="I18" s="85"/>
      <c r="J18" s="49"/>
      <c r="K18" s="85"/>
      <c r="L18" s="85"/>
      <c r="M18" s="85">
        <f>M67</f>
        <v>120800</v>
      </c>
      <c r="N18" s="85">
        <f t="shared" ref="N18:U18" si="7">N67</f>
        <v>61000</v>
      </c>
      <c r="O18" s="85">
        <f t="shared" si="7"/>
        <v>63800</v>
      </c>
      <c r="P18" s="85">
        <f t="shared" si="7"/>
        <v>59800</v>
      </c>
      <c r="Q18" s="85">
        <f t="shared" si="7"/>
        <v>59800</v>
      </c>
      <c r="R18" s="85">
        <f t="shared" si="7"/>
        <v>0</v>
      </c>
      <c r="S18" s="85">
        <f t="shared" si="7"/>
        <v>0</v>
      </c>
      <c r="T18" s="85">
        <f t="shared" si="7"/>
        <v>0</v>
      </c>
      <c r="U18" s="85">
        <f t="shared" si="7"/>
        <v>0</v>
      </c>
      <c r="V18" s="77"/>
    </row>
    <row r="19" spans="1:22" s="64" customFormat="1" ht="31.5" x14ac:dyDescent="0.2">
      <c r="A19" s="47">
        <v>3</v>
      </c>
      <c r="B19" s="52" t="s">
        <v>27</v>
      </c>
      <c r="C19" s="47">
        <f>C75</f>
        <v>4</v>
      </c>
      <c r="D19" s="49"/>
      <c r="E19" s="49"/>
      <c r="F19" s="84"/>
      <c r="G19" s="84"/>
      <c r="H19" s="84"/>
      <c r="I19" s="85"/>
      <c r="J19" s="49"/>
      <c r="K19" s="85"/>
      <c r="L19" s="85"/>
      <c r="M19" s="85">
        <f>M75</f>
        <v>2305565</v>
      </c>
      <c r="N19" s="85">
        <f t="shared" ref="N19:U19" si="8">N75</f>
        <v>1517844</v>
      </c>
      <c r="O19" s="85">
        <f t="shared" si="8"/>
        <v>718366</v>
      </c>
      <c r="P19" s="85">
        <f t="shared" si="8"/>
        <v>746637</v>
      </c>
      <c r="Q19" s="85">
        <f t="shared" si="8"/>
        <v>0</v>
      </c>
      <c r="R19" s="85">
        <f t="shared" si="8"/>
        <v>746637</v>
      </c>
      <c r="S19" s="85">
        <f t="shared" si="8"/>
        <v>0</v>
      </c>
      <c r="T19" s="85">
        <f t="shared" si="8"/>
        <v>0</v>
      </c>
      <c r="U19" s="85">
        <f t="shared" si="8"/>
        <v>0</v>
      </c>
      <c r="V19" s="77"/>
    </row>
    <row r="20" spans="1:22" s="64" customFormat="1" x14ac:dyDescent="0.2">
      <c r="A20" s="47">
        <v>4</v>
      </c>
      <c r="B20" s="52" t="s">
        <v>40</v>
      </c>
      <c r="C20" s="47">
        <f>C205</f>
        <v>1</v>
      </c>
      <c r="D20" s="49"/>
      <c r="E20" s="49"/>
      <c r="F20" s="84"/>
      <c r="G20" s="84"/>
      <c r="H20" s="84"/>
      <c r="I20" s="85"/>
      <c r="J20" s="49"/>
      <c r="K20" s="85"/>
      <c r="L20" s="85"/>
      <c r="M20" s="85">
        <f>M205</f>
        <v>39000</v>
      </c>
      <c r="N20" s="85">
        <f t="shared" ref="N20:U20" si="9">N205</f>
        <v>5000</v>
      </c>
      <c r="O20" s="85">
        <f t="shared" si="9"/>
        <v>24000</v>
      </c>
      <c r="P20" s="85">
        <f t="shared" si="9"/>
        <v>24000</v>
      </c>
      <c r="Q20" s="85">
        <f t="shared" si="9"/>
        <v>24000</v>
      </c>
      <c r="R20" s="85">
        <f t="shared" si="9"/>
        <v>0</v>
      </c>
      <c r="S20" s="85">
        <f t="shared" si="9"/>
        <v>0</v>
      </c>
      <c r="T20" s="85">
        <f t="shared" si="9"/>
        <v>0</v>
      </c>
      <c r="U20" s="85">
        <f t="shared" si="9"/>
        <v>0</v>
      </c>
      <c r="V20" s="77"/>
    </row>
    <row r="21" spans="1:22" s="64" customFormat="1" x14ac:dyDescent="0.2">
      <c r="A21" s="47">
        <v>5</v>
      </c>
      <c r="B21" s="52" t="s">
        <v>42</v>
      </c>
      <c r="C21" s="47">
        <f>C208</f>
        <v>5</v>
      </c>
      <c r="D21" s="49"/>
      <c r="E21" s="49"/>
      <c r="F21" s="84"/>
      <c r="G21" s="84"/>
      <c r="H21" s="84"/>
      <c r="I21" s="85"/>
      <c r="J21" s="49"/>
      <c r="K21" s="85"/>
      <c r="L21" s="85"/>
      <c r="M21" s="85">
        <f>M208</f>
        <v>412500</v>
      </c>
      <c r="N21" s="85">
        <f t="shared" ref="N21:U21" si="10">N208</f>
        <v>179748</v>
      </c>
      <c r="O21" s="85">
        <f t="shared" si="10"/>
        <v>189700</v>
      </c>
      <c r="P21" s="85">
        <f t="shared" si="10"/>
        <v>231852</v>
      </c>
      <c r="Q21" s="85">
        <f t="shared" si="10"/>
        <v>0</v>
      </c>
      <c r="R21" s="85">
        <f t="shared" si="10"/>
        <v>231852</v>
      </c>
      <c r="S21" s="85">
        <f t="shared" si="10"/>
        <v>0</v>
      </c>
      <c r="T21" s="85">
        <f t="shared" si="10"/>
        <v>0</v>
      </c>
      <c r="U21" s="85">
        <f t="shared" si="10"/>
        <v>0</v>
      </c>
      <c r="V21" s="77"/>
    </row>
    <row r="22" spans="1:22" s="64" customFormat="1" x14ac:dyDescent="0.2">
      <c r="A22" s="47">
        <v>6</v>
      </c>
      <c r="B22" s="52" t="s">
        <v>456</v>
      </c>
      <c r="C22" s="47">
        <f>C216</f>
        <v>1</v>
      </c>
      <c r="D22" s="49"/>
      <c r="E22" s="49"/>
      <c r="F22" s="84"/>
      <c r="G22" s="84"/>
      <c r="H22" s="84"/>
      <c r="I22" s="85"/>
      <c r="J22" s="49"/>
      <c r="K22" s="85"/>
      <c r="L22" s="85"/>
      <c r="M22" s="85">
        <f>M216</f>
        <v>35900</v>
      </c>
      <c r="N22" s="85">
        <f t="shared" ref="N22:U23" si="11">N216</f>
        <v>5419</v>
      </c>
      <c r="O22" s="85">
        <f t="shared" si="11"/>
        <v>30900</v>
      </c>
      <c r="P22" s="85">
        <f t="shared" si="11"/>
        <v>29200</v>
      </c>
      <c r="Q22" s="85">
        <f t="shared" si="11"/>
        <v>0</v>
      </c>
      <c r="R22" s="85">
        <f t="shared" si="11"/>
        <v>29200</v>
      </c>
      <c r="S22" s="85">
        <f t="shared" si="11"/>
        <v>0</v>
      </c>
      <c r="T22" s="85">
        <f t="shared" si="11"/>
        <v>0</v>
      </c>
      <c r="U22" s="85">
        <f t="shared" si="11"/>
        <v>0</v>
      </c>
      <c r="V22" s="77"/>
    </row>
    <row r="23" spans="1:22" s="83" customFormat="1" x14ac:dyDescent="0.2">
      <c r="A23" s="86" t="s">
        <v>33</v>
      </c>
      <c r="B23" s="87" t="s">
        <v>61</v>
      </c>
      <c r="C23" s="88">
        <f>C217</f>
        <v>1</v>
      </c>
      <c r="D23" s="88"/>
      <c r="E23" s="88"/>
      <c r="F23" s="89"/>
      <c r="G23" s="89"/>
      <c r="H23" s="89"/>
      <c r="I23" s="90"/>
      <c r="J23" s="88"/>
      <c r="K23" s="91"/>
      <c r="L23" s="91"/>
      <c r="M23" s="91">
        <f>M217</f>
        <v>35900</v>
      </c>
      <c r="N23" s="91">
        <f t="shared" si="11"/>
        <v>5419</v>
      </c>
      <c r="O23" s="91">
        <f t="shared" si="11"/>
        <v>30900</v>
      </c>
      <c r="P23" s="91">
        <f t="shared" si="11"/>
        <v>29200</v>
      </c>
      <c r="Q23" s="91">
        <f t="shared" si="11"/>
        <v>0</v>
      </c>
      <c r="R23" s="91">
        <f t="shared" si="11"/>
        <v>29200</v>
      </c>
      <c r="S23" s="91">
        <f t="shared" si="11"/>
        <v>0</v>
      </c>
      <c r="T23" s="91">
        <f t="shared" si="11"/>
        <v>0</v>
      </c>
      <c r="U23" s="91">
        <f t="shared" si="11"/>
        <v>0</v>
      </c>
      <c r="V23" s="82"/>
    </row>
    <row r="24" spans="1:22" s="64" customFormat="1" x14ac:dyDescent="0.2">
      <c r="A24" s="47">
        <v>7</v>
      </c>
      <c r="B24" s="52" t="s">
        <v>45</v>
      </c>
      <c r="C24" s="47">
        <f>C226</f>
        <v>10</v>
      </c>
      <c r="D24" s="49"/>
      <c r="E24" s="49"/>
      <c r="F24" s="84"/>
      <c r="G24" s="84"/>
      <c r="H24" s="84"/>
      <c r="I24" s="85"/>
      <c r="J24" s="49"/>
      <c r="K24" s="85"/>
      <c r="L24" s="85"/>
      <c r="M24" s="85">
        <f>M226</f>
        <v>31350</v>
      </c>
      <c r="N24" s="85">
        <f t="shared" ref="N24:U24" si="12">N226</f>
        <v>9000</v>
      </c>
      <c r="O24" s="85">
        <f t="shared" si="12"/>
        <v>13350</v>
      </c>
      <c r="P24" s="85">
        <f t="shared" si="12"/>
        <v>21300</v>
      </c>
      <c r="Q24" s="85">
        <f t="shared" si="12"/>
        <v>0</v>
      </c>
      <c r="R24" s="85">
        <f t="shared" si="12"/>
        <v>21300</v>
      </c>
      <c r="S24" s="85">
        <f t="shared" si="12"/>
        <v>0</v>
      </c>
      <c r="T24" s="85">
        <f t="shared" si="12"/>
        <v>0</v>
      </c>
      <c r="U24" s="85">
        <f t="shared" si="12"/>
        <v>0</v>
      </c>
      <c r="V24" s="77"/>
    </row>
    <row r="25" spans="1:22" s="64" customFormat="1" x14ac:dyDescent="0.2">
      <c r="A25" s="47">
        <v>8</v>
      </c>
      <c r="B25" s="52" t="s">
        <v>226</v>
      </c>
      <c r="C25" s="47">
        <f>C240</f>
        <v>2</v>
      </c>
      <c r="D25" s="49"/>
      <c r="E25" s="49"/>
      <c r="F25" s="84"/>
      <c r="G25" s="84"/>
      <c r="H25" s="84"/>
      <c r="I25" s="85"/>
      <c r="J25" s="49"/>
      <c r="K25" s="85"/>
      <c r="L25" s="85"/>
      <c r="M25" s="85">
        <f>M240</f>
        <v>492056</v>
      </c>
      <c r="N25" s="85">
        <f t="shared" ref="N25:U26" si="13">N240</f>
        <v>436257</v>
      </c>
      <c r="O25" s="85">
        <f t="shared" si="13"/>
        <v>26500</v>
      </c>
      <c r="P25" s="85">
        <f t="shared" si="13"/>
        <v>32300</v>
      </c>
      <c r="Q25" s="85">
        <f t="shared" si="13"/>
        <v>5800</v>
      </c>
      <c r="R25" s="85">
        <f t="shared" si="13"/>
        <v>26500</v>
      </c>
      <c r="S25" s="85">
        <f t="shared" si="13"/>
        <v>0</v>
      </c>
      <c r="T25" s="85">
        <f t="shared" si="13"/>
        <v>0</v>
      </c>
      <c r="U25" s="85">
        <f t="shared" si="13"/>
        <v>0</v>
      </c>
      <c r="V25" s="77"/>
    </row>
    <row r="26" spans="1:22" s="83" customFormat="1" x14ac:dyDescent="0.2">
      <c r="A26" s="86" t="s">
        <v>33</v>
      </c>
      <c r="B26" s="87" t="s">
        <v>46</v>
      </c>
      <c r="C26" s="88">
        <f>C241</f>
        <v>2</v>
      </c>
      <c r="D26" s="88"/>
      <c r="E26" s="88"/>
      <c r="F26" s="89"/>
      <c r="G26" s="89"/>
      <c r="H26" s="89"/>
      <c r="I26" s="90"/>
      <c r="J26" s="88"/>
      <c r="K26" s="91"/>
      <c r="L26" s="91"/>
      <c r="M26" s="91">
        <f>M241</f>
        <v>492056</v>
      </c>
      <c r="N26" s="91">
        <f t="shared" si="13"/>
        <v>436257</v>
      </c>
      <c r="O26" s="91">
        <f t="shared" si="13"/>
        <v>26500</v>
      </c>
      <c r="P26" s="91">
        <f t="shared" si="13"/>
        <v>32300</v>
      </c>
      <c r="Q26" s="91">
        <f t="shared" si="13"/>
        <v>5800</v>
      </c>
      <c r="R26" s="91">
        <f t="shared" si="13"/>
        <v>26500</v>
      </c>
      <c r="S26" s="91">
        <f t="shared" si="13"/>
        <v>0</v>
      </c>
      <c r="T26" s="91">
        <f t="shared" si="13"/>
        <v>0</v>
      </c>
      <c r="U26" s="91">
        <f t="shared" si="13"/>
        <v>0</v>
      </c>
      <c r="V26" s="82"/>
    </row>
    <row r="27" spans="1:22" s="64" customFormat="1" x14ac:dyDescent="0.2">
      <c r="A27" s="47">
        <v>9</v>
      </c>
      <c r="B27" s="52" t="s">
        <v>64</v>
      </c>
      <c r="C27" s="49">
        <f>C249</f>
        <v>65</v>
      </c>
      <c r="D27" s="49"/>
      <c r="E27" s="49"/>
      <c r="F27" s="84"/>
      <c r="G27" s="84"/>
      <c r="H27" s="84"/>
      <c r="I27" s="85"/>
      <c r="J27" s="49"/>
      <c r="K27" s="92"/>
      <c r="L27" s="92"/>
      <c r="M27" s="92">
        <f>M249</f>
        <v>11128327</v>
      </c>
      <c r="N27" s="92">
        <f t="shared" ref="N27:U28" si="14">N249</f>
        <v>4828685</v>
      </c>
      <c r="O27" s="92">
        <f t="shared" si="14"/>
        <v>3651857</v>
      </c>
      <c r="P27" s="92">
        <f t="shared" si="14"/>
        <v>3481129</v>
      </c>
      <c r="Q27" s="92">
        <f t="shared" si="14"/>
        <v>352786</v>
      </c>
      <c r="R27" s="92">
        <f t="shared" si="14"/>
        <v>766068</v>
      </c>
      <c r="S27" s="92">
        <f t="shared" si="14"/>
        <v>1809275</v>
      </c>
      <c r="T27" s="92">
        <f t="shared" si="14"/>
        <v>0</v>
      </c>
      <c r="U27" s="92">
        <f t="shared" si="14"/>
        <v>553000</v>
      </c>
      <c r="V27" s="77"/>
    </row>
    <row r="28" spans="1:22" s="83" customFormat="1" ht="31.5" x14ac:dyDescent="0.2">
      <c r="A28" s="86" t="s">
        <v>33</v>
      </c>
      <c r="B28" s="87" t="s">
        <v>457</v>
      </c>
      <c r="C28" s="86">
        <f>C250</f>
        <v>13</v>
      </c>
      <c r="D28" s="88"/>
      <c r="E28" s="88"/>
      <c r="F28" s="89"/>
      <c r="G28" s="89"/>
      <c r="H28" s="89"/>
      <c r="I28" s="90"/>
      <c r="J28" s="88"/>
      <c r="K28" s="90"/>
      <c r="L28" s="90"/>
      <c r="M28" s="90">
        <f>M250</f>
        <v>2382379</v>
      </c>
      <c r="N28" s="90">
        <f t="shared" si="14"/>
        <v>1151392</v>
      </c>
      <c r="O28" s="90">
        <f t="shared" si="14"/>
        <v>699885</v>
      </c>
      <c r="P28" s="90">
        <f t="shared" si="14"/>
        <v>530373</v>
      </c>
      <c r="Q28" s="90">
        <f t="shared" si="14"/>
        <v>63490</v>
      </c>
      <c r="R28" s="90">
        <f t="shared" si="14"/>
        <v>64500</v>
      </c>
      <c r="S28" s="90">
        <f t="shared" si="14"/>
        <v>402383</v>
      </c>
      <c r="T28" s="90">
        <f t="shared" si="14"/>
        <v>0</v>
      </c>
      <c r="U28" s="90">
        <f t="shared" si="14"/>
        <v>0</v>
      </c>
      <c r="V28" s="82"/>
    </row>
    <row r="29" spans="1:22" s="83" customFormat="1" x14ac:dyDescent="0.2">
      <c r="A29" s="86" t="s">
        <v>34</v>
      </c>
      <c r="B29" s="87" t="s">
        <v>458</v>
      </c>
      <c r="C29" s="86">
        <f>C272</f>
        <v>18</v>
      </c>
      <c r="D29" s="88"/>
      <c r="E29" s="88"/>
      <c r="F29" s="89"/>
      <c r="G29" s="89"/>
      <c r="H29" s="89"/>
      <c r="I29" s="90"/>
      <c r="J29" s="88"/>
      <c r="K29" s="90"/>
      <c r="L29" s="90"/>
      <c r="M29" s="90">
        <f>M272</f>
        <v>6125548</v>
      </c>
      <c r="N29" s="90">
        <f t="shared" ref="N29:U29" si="15">N272</f>
        <v>2802980</v>
      </c>
      <c r="O29" s="90">
        <f t="shared" si="15"/>
        <v>2150526</v>
      </c>
      <c r="P29" s="90">
        <f t="shared" si="15"/>
        <v>1818314</v>
      </c>
      <c r="Q29" s="90">
        <f t="shared" si="15"/>
        <v>40000</v>
      </c>
      <c r="R29" s="90">
        <f t="shared" si="15"/>
        <v>391422</v>
      </c>
      <c r="S29" s="90">
        <f t="shared" si="15"/>
        <v>1386892</v>
      </c>
      <c r="T29" s="90">
        <f t="shared" si="15"/>
        <v>0</v>
      </c>
      <c r="U29" s="90">
        <f t="shared" si="15"/>
        <v>0</v>
      </c>
      <c r="V29" s="82"/>
    </row>
    <row r="30" spans="1:22" s="83" customFormat="1" x14ac:dyDescent="0.2">
      <c r="A30" s="86" t="s">
        <v>35</v>
      </c>
      <c r="B30" s="87" t="s">
        <v>41</v>
      </c>
      <c r="C30" s="86">
        <f>C299</f>
        <v>2</v>
      </c>
      <c r="D30" s="88"/>
      <c r="E30" s="88"/>
      <c r="F30" s="89"/>
      <c r="G30" s="89"/>
      <c r="H30" s="89"/>
      <c r="I30" s="90"/>
      <c r="J30" s="88"/>
      <c r="K30" s="90"/>
      <c r="L30" s="90"/>
      <c r="M30" s="90">
        <f>M299</f>
        <v>517500</v>
      </c>
      <c r="N30" s="90">
        <f t="shared" ref="N30:U30" si="16">N299</f>
        <v>269665</v>
      </c>
      <c r="O30" s="90">
        <f t="shared" si="16"/>
        <v>190000</v>
      </c>
      <c r="P30" s="90">
        <f t="shared" si="16"/>
        <v>123835</v>
      </c>
      <c r="Q30" s="90">
        <f t="shared" si="16"/>
        <v>57000</v>
      </c>
      <c r="R30" s="90">
        <f t="shared" si="16"/>
        <v>0</v>
      </c>
      <c r="S30" s="90">
        <f t="shared" si="16"/>
        <v>20000</v>
      </c>
      <c r="T30" s="90">
        <f t="shared" si="16"/>
        <v>0</v>
      </c>
      <c r="U30" s="90">
        <f t="shared" si="16"/>
        <v>46835</v>
      </c>
      <c r="V30" s="82"/>
    </row>
    <row r="31" spans="1:22" s="83" customFormat="1" x14ac:dyDescent="0.2">
      <c r="A31" s="86" t="s">
        <v>67</v>
      </c>
      <c r="B31" s="87" t="s">
        <v>25</v>
      </c>
      <c r="C31" s="86">
        <f>C308</f>
        <v>1</v>
      </c>
      <c r="D31" s="88"/>
      <c r="E31" s="88"/>
      <c r="F31" s="89"/>
      <c r="G31" s="89"/>
      <c r="H31" s="89"/>
      <c r="I31" s="90"/>
      <c r="J31" s="88"/>
      <c r="K31" s="90"/>
      <c r="L31" s="90"/>
      <c r="M31" s="90">
        <f>M308</f>
        <v>26400</v>
      </c>
      <c r="N31" s="90">
        <f t="shared" ref="N31:U31" si="17">N308</f>
        <v>304</v>
      </c>
      <c r="O31" s="90">
        <f t="shared" si="17"/>
        <v>22000</v>
      </c>
      <c r="P31" s="90">
        <f t="shared" si="17"/>
        <v>16000</v>
      </c>
      <c r="Q31" s="90">
        <f t="shared" si="17"/>
        <v>16000</v>
      </c>
      <c r="R31" s="90">
        <f t="shared" si="17"/>
        <v>0</v>
      </c>
      <c r="S31" s="90">
        <f t="shared" si="17"/>
        <v>0</v>
      </c>
      <c r="T31" s="90">
        <f t="shared" si="17"/>
        <v>0</v>
      </c>
      <c r="U31" s="90">
        <f t="shared" si="17"/>
        <v>0</v>
      </c>
      <c r="V31" s="82"/>
    </row>
    <row r="32" spans="1:22" s="83" customFormat="1" ht="31.5" x14ac:dyDescent="0.2">
      <c r="A32" s="86" t="s">
        <v>68</v>
      </c>
      <c r="B32" s="87" t="s">
        <v>65</v>
      </c>
      <c r="C32" s="86">
        <f>C313</f>
        <v>31</v>
      </c>
      <c r="D32" s="88"/>
      <c r="E32" s="88"/>
      <c r="F32" s="89"/>
      <c r="G32" s="89"/>
      <c r="H32" s="89"/>
      <c r="I32" s="90"/>
      <c r="J32" s="88"/>
      <c r="K32" s="90"/>
      <c r="L32" s="90"/>
      <c r="M32" s="90">
        <f>M313</f>
        <v>2076500</v>
      </c>
      <c r="N32" s="90">
        <f t="shared" ref="N32:U32" si="18">N313</f>
        <v>604344</v>
      </c>
      <c r="O32" s="90">
        <f t="shared" si="18"/>
        <v>589446</v>
      </c>
      <c r="P32" s="90">
        <f t="shared" si="18"/>
        <v>992607</v>
      </c>
      <c r="Q32" s="90">
        <f t="shared" si="18"/>
        <v>176296</v>
      </c>
      <c r="R32" s="90">
        <f t="shared" si="18"/>
        <v>310146</v>
      </c>
      <c r="S32" s="90">
        <f t="shared" si="18"/>
        <v>0</v>
      </c>
      <c r="T32" s="90">
        <f t="shared" si="18"/>
        <v>0</v>
      </c>
      <c r="U32" s="90">
        <f t="shared" si="18"/>
        <v>506165</v>
      </c>
      <c r="V32" s="82"/>
    </row>
    <row r="33" spans="1:22" s="64" customFormat="1" ht="47.25" x14ac:dyDescent="0.2">
      <c r="A33" s="47">
        <v>10</v>
      </c>
      <c r="B33" s="52" t="s">
        <v>459</v>
      </c>
      <c r="C33" s="47">
        <f>C358</f>
        <v>6</v>
      </c>
      <c r="D33" s="49"/>
      <c r="E33" s="49"/>
      <c r="F33" s="84"/>
      <c r="G33" s="84"/>
      <c r="H33" s="84"/>
      <c r="I33" s="85"/>
      <c r="J33" s="49"/>
      <c r="K33" s="85"/>
      <c r="L33" s="85"/>
      <c r="M33" s="85">
        <f>M358</f>
        <v>27300</v>
      </c>
      <c r="N33" s="85">
        <f t="shared" ref="N33:U33" si="19">N358</f>
        <v>3500</v>
      </c>
      <c r="O33" s="85">
        <f t="shared" si="19"/>
        <v>21500</v>
      </c>
      <c r="P33" s="85">
        <f t="shared" si="19"/>
        <v>21500</v>
      </c>
      <c r="Q33" s="85">
        <f t="shared" si="19"/>
        <v>21500</v>
      </c>
      <c r="R33" s="85">
        <f t="shared" si="19"/>
        <v>0</v>
      </c>
      <c r="S33" s="85">
        <f t="shared" si="19"/>
        <v>0</v>
      </c>
      <c r="T33" s="85">
        <f t="shared" si="19"/>
        <v>0</v>
      </c>
      <c r="U33" s="85">
        <f t="shared" si="19"/>
        <v>0</v>
      </c>
      <c r="V33" s="77"/>
    </row>
    <row r="34" spans="1:22" s="64" customFormat="1" x14ac:dyDescent="0.2">
      <c r="A34" s="47">
        <v>11</v>
      </c>
      <c r="B34" s="52" t="s">
        <v>66</v>
      </c>
      <c r="C34" s="47">
        <f>C368</f>
        <v>1</v>
      </c>
      <c r="D34" s="49"/>
      <c r="E34" s="49"/>
      <c r="F34" s="84"/>
      <c r="G34" s="84"/>
      <c r="H34" s="84"/>
      <c r="I34" s="85"/>
      <c r="J34" s="49"/>
      <c r="K34" s="85"/>
      <c r="L34" s="85"/>
      <c r="M34" s="85">
        <f>M368</f>
        <v>15700</v>
      </c>
      <c r="N34" s="85">
        <f t="shared" ref="N34:U34" si="20">N368</f>
        <v>6577</v>
      </c>
      <c r="O34" s="85">
        <f t="shared" si="20"/>
        <v>9123</v>
      </c>
      <c r="P34" s="85">
        <f t="shared" si="20"/>
        <v>5659</v>
      </c>
      <c r="Q34" s="85">
        <f t="shared" si="20"/>
        <v>0</v>
      </c>
      <c r="R34" s="85">
        <f t="shared" si="20"/>
        <v>443</v>
      </c>
      <c r="S34" s="85">
        <f t="shared" si="20"/>
        <v>5216</v>
      </c>
      <c r="T34" s="85">
        <f t="shared" si="20"/>
        <v>0</v>
      </c>
      <c r="U34" s="85">
        <f t="shared" si="20"/>
        <v>0</v>
      </c>
      <c r="V34" s="77"/>
    </row>
    <row r="35" spans="1:22" s="97" customFormat="1" hidden="1" x14ac:dyDescent="0.2">
      <c r="A35" s="78"/>
      <c r="B35" s="98"/>
      <c r="C35" s="78"/>
      <c r="D35" s="80"/>
      <c r="E35" s="80"/>
      <c r="F35" s="81"/>
      <c r="G35" s="81"/>
      <c r="H35" s="81"/>
      <c r="I35" s="94"/>
      <c r="J35" s="80"/>
      <c r="K35" s="82"/>
      <c r="L35" s="82"/>
      <c r="M35" s="94"/>
      <c r="N35" s="94"/>
      <c r="O35" s="94"/>
      <c r="P35" s="94"/>
      <c r="Q35" s="94"/>
      <c r="R35" s="94"/>
      <c r="S35" s="94"/>
      <c r="T35" s="94"/>
      <c r="U35" s="94"/>
      <c r="V35" s="96"/>
    </row>
    <row r="36" spans="1:22" s="97" customFormat="1" ht="31.5" x14ac:dyDescent="0.2">
      <c r="A36" s="86"/>
      <c r="B36" s="95" t="s">
        <v>705</v>
      </c>
      <c r="C36" s="86">
        <f>SUM(C37:C42)</f>
        <v>24</v>
      </c>
      <c r="D36" s="88"/>
      <c r="E36" s="88"/>
      <c r="F36" s="89"/>
      <c r="G36" s="89"/>
      <c r="H36" s="89"/>
      <c r="I36" s="90"/>
      <c r="J36" s="88"/>
      <c r="K36" s="96"/>
      <c r="L36" s="96"/>
      <c r="M36" s="90">
        <f t="shared" ref="M36:U36" si="21">SUM(M37:M42)</f>
        <v>699558</v>
      </c>
      <c r="N36" s="90">
        <f t="shared" si="21"/>
        <v>324766</v>
      </c>
      <c r="O36" s="90">
        <f t="shared" si="21"/>
        <v>242032</v>
      </c>
      <c r="P36" s="90">
        <f t="shared" si="21"/>
        <v>236784</v>
      </c>
      <c r="Q36" s="90">
        <f t="shared" si="21"/>
        <v>29300</v>
      </c>
      <c r="R36" s="90">
        <f t="shared" si="21"/>
        <v>79779</v>
      </c>
      <c r="S36" s="90">
        <f t="shared" si="21"/>
        <v>127705</v>
      </c>
      <c r="T36" s="90">
        <f t="shared" si="21"/>
        <v>0</v>
      </c>
      <c r="U36" s="90">
        <f t="shared" si="21"/>
        <v>0</v>
      </c>
      <c r="V36" s="96"/>
    </row>
    <row r="37" spans="1:22" s="97" customFormat="1" ht="47.25" hidden="1" x14ac:dyDescent="0.2">
      <c r="A37" s="86"/>
      <c r="B37" s="95" t="str">
        <f>B201</f>
        <v>Hỗ trợ mục tiêu cho cấp huyện xây dựng Trung tâm Văn hoá-Học tập cộng đồng cấp xã</v>
      </c>
      <c r="C37" s="86">
        <f>C201</f>
        <v>1</v>
      </c>
      <c r="D37" s="88"/>
      <c r="E37" s="88"/>
      <c r="F37" s="89"/>
      <c r="G37" s="89"/>
      <c r="H37" s="89"/>
      <c r="I37" s="90"/>
      <c r="J37" s="88"/>
      <c r="K37" s="96"/>
      <c r="L37" s="96"/>
      <c r="M37" s="90">
        <f>M201</f>
        <v>3000</v>
      </c>
      <c r="N37" s="90">
        <f t="shared" ref="N37:U37" si="22">N201</f>
        <v>500</v>
      </c>
      <c r="O37" s="90">
        <f t="shared" si="22"/>
        <v>0</v>
      </c>
      <c r="P37" s="90">
        <f t="shared" si="22"/>
        <v>2500</v>
      </c>
      <c r="Q37" s="90">
        <f t="shared" si="22"/>
        <v>0</v>
      </c>
      <c r="R37" s="90">
        <f t="shared" si="22"/>
        <v>2500</v>
      </c>
      <c r="S37" s="90">
        <f t="shared" si="22"/>
        <v>0</v>
      </c>
      <c r="T37" s="90">
        <f t="shared" si="22"/>
        <v>0</v>
      </c>
      <c r="U37" s="90">
        <f t="shared" si="22"/>
        <v>0</v>
      </c>
      <c r="V37" s="96"/>
    </row>
    <row r="38" spans="1:22" s="97" customFormat="1" ht="47.25" hidden="1" x14ac:dyDescent="0.2">
      <c r="A38" s="86"/>
      <c r="B38" s="95" t="str">
        <f>B227</f>
        <v>Hỗ trợ mục tiêu cho cấp huyện đầu tư Khu liên hợp thể dục thể thao huyện và Tổ hợp thể thao xã</v>
      </c>
      <c r="C38" s="86">
        <f>C227</f>
        <v>10</v>
      </c>
      <c r="D38" s="88"/>
      <c r="E38" s="88"/>
      <c r="F38" s="89"/>
      <c r="G38" s="89"/>
      <c r="H38" s="89"/>
      <c r="I38" s="90"/>
      <c r="J38" s="88"/>
      <c r="K38" s="96"/>
      <c r="L38" s="96"/>
      <c r="M38" s="90">
        <f>M227</f>
        <v>31350</v>
      </c>
      <c r="N38" s="90">
        <f t="shared" ref="N38:U38" si="23">N227</f>
        <v>9000</v>
      </c>
      <c r="O38" s="90">
        <f t="shared" si="23"/>
        <v>13350</v>
      </c>
      <c r="P38" s="90">
        <f t="shared" si="23"/>
        <v>21300</v>
      </c>
      <c r="Q38" s="90">
        <f t="shared" si="23"/>
        <v>0</v>
      </c>
      <c r="R38" s="90">
        <f t="shared" si="23"/>
        <v>21300</v>
      </c>
      <c r="S38" s="90">
        <f t="shared" si="23"/>
        <v>0</v>
      </c>
      <c r="T38" s="90">
        <f t="shared" si="23"/>
        <v>0</v>
      </c>
      <c r="U38" s="90">
        <f t="shared" si="23"/>
        <v>0</v>
      </c>
      <c r="V38" s="96"/>
    </row>
    <row r="39" spans="1:22" s="97" customFormat="1" ht="47.25" hidden="1" x14ac:dyDescent="0.2">
      <c r="A39" s="86"/>
      <c r="B39" s="95" t="str">
        <f>B256</f>
        <v>Chương trình mục tiêu quốc gia xây dựng nông thôn mới giai đoạn 2021-2025</v>
      </c>
      <c r="C39" s="86">
        <f>C256</f>
        <v>1</v>
      </c>
      <c r="D39" s="88"/>
      <c r="E39" s="88"/>
      <c r="F39" s="89"/>
      <c r="G39" s="89"/>
      <c r="H39" s="89"/>
      <c r="I39" s="90"/>
      <c r="J39" s="88"/>
      <c r="K39" s="96"/>
      <c r="L39" s="96"/>
      <c r="M39" s="90">
        <f>M256</f>
        <v>508400</v>
      </c>
      <c r="N39" s="90">
        <f t="shared" ref="N39:U39" si="24">N256</f>
        <v>252920</v>
      </c>
      <c r="O39" s="90">
        <f t="shared" si="24"/>
        <v>149320</v>
      </c>
      <c r="P39" s="90">
        <f t="shared" si="24"/>
        <v>127705</v>
      </c>
      <c r="Q39" s="90">
        <f t="shared" si="24"/>
        <v>0</v>
      </c>
      <c r="R39" s="90">
        <f t="shared" si="24"/>
        <v>0</v>
      </c>
      <c r="S39" s="90">
        <f t="shared" si="24"/>
        <v>127705</v>
      </c>
      <c r="T39" s="90">
        <f t="shared" si="24"/>
        <v>0</v>
      </c>
      <c r="U39" s="90">
        <f t="shared" si="24"/>
        <v>0</v>
      </c>
      <c r="V39" s="96"/>
    </row>
    <row r="40" spans="1:22" s="97" customFormat="1" ht="47.25" hidden="1" x14ac:dyDescent="0.2">
      <c r="A40" s="86"/>
      <c r="B40" s="95" t="str">
        <f>B269</f>
        <v>Hỗ trợ mục tiêu cho cấp huyện hoàn chỉnh hệ thống hạ tầng kỹ thuật đối với các cụm dân cư vượt lũ GĐ 1</v>
      </c>
      <c r="C40" s="86">
        <f>C269</f>
        <v>2</v>
      </c>
      <c r="D40" s="88"/>
      <c r="E40" s="88"/>
      <c r="F40" s="89"/>
      <c r="G40" s="89"/>
      <c r="H40" s="89"/>
      <c r="I40" s="90"/>
      <c r="J40" s="88"/>
      <c r="K40" s="96"/>
      <c r="L40" s="96"/>
      <c r="M40" s="90">
        <f>M269</f>
        <v>7800</v>
      </c>
      <c r="N40" s="90">
        <f t="shared" ref="N40:U40" si="25">N269</f>
        <v>0</v>
      </c>
      <c r="O40" s="90">
        <f t="shared" si="25"/>
        <v>0</v>
      </c>
      <c r="P40" s="90">
        <f t="shared" si="25"/>
        <v>7800</v>
      </c>
      <c r="Q40" s="90">
        <f t="shared" si="25"/>
        <v>7800</v>
      </c>
      <c r="R40" s="90">
        <f t="shared" si="25"/>
        <v>0</v>
      </c>
      <c r="S40" s="90">
        <f t="shared" si="25"/>
        <v>0</v>
      </c>
      <c r="T40" s="90">
        <f t="shared" si="25"/>
        <v>0</v>
      </c>
      <c r="U40" s="90">
        <f t="shared" si="25"/>
        <v>0</v>
      </c>
      <c r="V40" s="96"/>
    </row>
    <row r="41" spans="1:22" ht="63" hidden="1" x14ac:dyDescent="0.2">
      <c r="A41" s="86"/>
      <c r="B41" s="95" t="str">
        <f>B290</f>
        <v>Hỗ trợ mục tiêu cho cấp huyện đầu tư công trình giao thông nông thôn góp phần hoàn thành tiêu chí nông thôn mới</v>
      </c>
      <c r="C41" s="86">
        <f>C290+C297</f>
        <v>4</v>
      </c>
      <c r="D41" s="88"/>
      <c r="E41" s="88"/>
      <c r="F41" s="89"/>
      <c r="G41" s="89"/>
      <c r="H41" s="89"/>
      <c r="I41" s="90"/>
      <c r="J41" s="88"/>
      <c r="K41" s="96"/>
      <c r="L41" s="96"/>
      <c r="M41" s="90">
        <f t="shared" ref="M41:U41" si="26">M290+M297</f>
        <v>121708</v>
      </c>
      <c r="N41" s="90">
        <f t="shared" si="26"/>
        <v>58846</v>
      </c>
      <c r="O41" s="90">
        <f t="shared" si="26"/>
        <v>57862</v>
      </c>
      <c r="P41" s="90">
        <f t="shared" si="26"/>
        <v>55979</v>
      </c>
      <c r="Q41" s="90">
        <f t="shared" si="26"/>
        <v>0</v>
      </c>
      <c r="R41" s="90">
        <f t="shared" si="26"/>
        <v>55979</v>
      </c>
      <c r="S41" s="90">
        <f t="shared" si="26"/>
        <v>0</v>
      </c>
      <c r="T41" s="90">
        <f t="shared" si="26"/>
        <v>0</v>
      </c>
      <c r="U41" s="90">
        <f t="shared" si="26"/>
        <v>0</v>
      </c>
      <c r="V41" s="51"/>
    </row>
    <row r="42" spans="1:22" s="83" customFormat="1" ht="31.5" hidden="1" x14ac:dyDescent="0.2">
      <c r="A42" s="86"/>
      <c r="B42" s="95" t="str">
        <f>B359</f>
        <v>Hỗ trợ mục tiêu cho cấp huyện xây dựng trụ sở UBND cấp xã</v>
      </c>
      <c r="C42" s="86">
        <f>C359</f>
        <v>6</v>
      </c>
      <c r="D42" s="88"/>
      <c r="E42" s="88"/>
      <c r="F42" s="89"/>
      <c r="G42" s="89"/>
      <c r="H42" s="89"/>
      <c r="I42" s="90"/>
      <c r="J42" s="88"/>
      <c r="K42" s="96"/>
      <c r="L42" s="96"/>
      <c r="M42" s="90">
        <f>M359</f>
        <v>27300</v>
      </c>
      <c r="N42" s="90">
        <f t="shared" ref="N42:U42" si="27">N359</f>
        <v>3500</v>
      </c>
      <c r="O42" s="90">
        <f t="shared" si="27"/>
        <v>21500</v>
      </c>
      <c r="P42" s="90">
        <f t="shared" si="27"/>
        <v>21500</v>
      </c>
      <c r="Q42" s="90">
        <f t="shared" si="27"/>
        <v>21500</v>
      </c>
      <c r="R42" s="90">
        <f t="shared" si="27"/>
        <v>0</v>
      </c>
      <c r="S42" s="90">
        <f t="shared" si="27"/>
        <v>0</v>
      </c>
      <c r="T42" s="90">
        <f t="shared" si="27"/>
        <v>0</v>
      </c>
      <c r="U42" s="90">
        <f t="shared" si="27"/>
        <v>0</v>
      </c>
      <c r="V42" s="82"/>
    </row>
    <row r="43" spans="1:22" ht="47.25" hidden="1" x14ac:dyDescent="0.2">
      <c r="A43" s="47">
        <v>2</v>
      </c>
      <c r="B43" s="48" t="str">
        <f>B328</f>
        <v>Hỗ trợ mục tiêu cho cấp huyện đầu tư công trình phát triển đô thị trên địa bàn tỉnh</v>
      </c>
      <c r="C43" s="47">
        <f>C328+C348</f>
        <v>17</v>
      </c>
      <c r="D43" s="49"/>
      <c r="E43" s="49"/>
      <c r="F43" s="84"/>
      <c r="G43" s="84"/>
      <c r="H43" s="84"/>
      <c r="I43" s="85"/>
      <c r="J43" s="49"/>
      <c r="K43" s="51"/>
      <c r="L43" s="51"/>
      <c r="M43" s="85">
        <f t="shared" ref="M43:U43" si="28">M328+M348</f>
        <v>886000</v>
      </c>
      <c r="N43" s="85">
        <f t="shared" si="28"/>
        <v>339815</v>
      </c>
      <c r="O43" s="85">
        <f t="shared" si="28"/>
        <v>411200</v>
      </c>
      <c r="P43" s="85">
        <f t="shared" si="28"/>
        <v>289366</v>
      </c>
      <c r="Q43" s="85">
        <f t="shared" si="28"/>
        <v>136166</v>
      </c>
      <c r="R43" s="85">
        <f t="shared" si="28"/>
        <v>153200</v>
      </c>
      <c r="S43" s="85">
        <f t="shared" si="28"/>
        <v>0</v>
      </c>
      <c r="T43" s="85">
        <f t="shared" si="28"/>
        <v>0</v>
      </c>
      <c r="U43" s="85">
        <f t="shared" si="28"/>
        <v>0</v>
      </c>
      <c r="V43" s="51"/>
    </row>
    <row r="44" spans="1:22" s="97" customFormat="1" ht="47.25" hidden="1" x14ac:dyDescent="0.2">
      <c r="A44" s="47">
        <v>3</v>
      </c>
      <c r="B44" s="48" t="str">
        <f>B323</f>
        <v>Hỗ trợ mục tiêu cho 03 thành phố đầu tư công trình phát triển đô thị theo các Nghị quyết của Tỉnh ủy</v>
      </c>
      <c r="C44" s="165">
        <f>C323+C340</f>
        <v>8</v>
      </c>
      <c r="D44" s="49"/>
      <c r="E44" s="49"/>
      <c r="F44" s="84"/>
      <c r="G44" s="84"/>
      <c r="H44" s="84"/>
      <c r="I44" s="85"/>
      <c r="J44" s="49"/>
      <c r="K44" s="51"/>
      <c r="L44" s="51"/>
      <c r="M44" s="99">
        <f t="shared" ref="M44:U44" si="29">M323+M340</f>
        <v>1010000</v>
      </c>
      <c r="N44" s="99">
        <f t="shared" si="29"/>
        <v>124165</v>
      </c>
      <c r="O44" s="99">
        <f t="shared" si="29"/>
        <v>156946</v>
      </c>
      <c r="P44" s="99">
        <f t="shared" si="29"/>
        <v>663111</v>
      </c>
      <c r="Q44" s="99">
        <f t="shared" si="29"/>
        <v>0</v>
      </c>
      <c r="R44" s="99">
        <f t="shared" si="29"/>
        <v>156946</v>
      </c>
      <c r="S44" s="99">
        <f t="shared" si="29"/>
        <v>0</v>
      </c>
      <c r="T44" s="99">
        <f t="shared" si="29"/>
        <v>0</v>
      </c>
      <c r="U44" s="99">
        <f t="shared" si="29"/>
        <v>506165</v>
      </c>
      <c r="V44" s="96"/>
    </row>
    <row r="45" spans="1:22" s="97" customFormat="1" x14ac:dyDescent="0.2">
      <c r="A45" s="47"/>
      <c r="B45" s="48"/>
      <c r="C45" s="47"/>
      <c r="D45" s="49"/>
      <c r="E45" s="49"/>
      <c r="F45" s="84"/>
      <c r="G45" s="84"/>
      <c r="H45" s="84"/>
      <c r="I45" s="85"/>
      <c r="J45" s="49"/>
      <c r="K45" s="51"/>
      <c r="L45" s="51"/>
      <c r="M45" s="85"/>
      <c r="N45" s="85"/>
      <c r="O45" s="85"/>
      <c r="P45" s="85"/>
      <c r="Q45" s="85"/>
      <c r="R45" s="85"/>
      <c r="S45" s="85"/>
      <c r="T45" s="85"/>
      <c r="U45" s="85"/>
      <c r="V45" s="96"/>
    </row>
    <row r="46" spans="1:22" s="97" customFormat="1" x14ac:dyDescent="0.2">
      <c r="A46" s="55"/>
      <c r="B46" s="100" t="s">
        <v>467</v>
      </c>
      <c r="C46" s="47"/>
      <c r="D46" s="49"/>
      <c r="E46" s="49"/>
      <c r="F46" s="49"/>
      <c r="G46" s="49"/>
      <c r="H46" s="49"/>
      <c r="I46" s="47"/>
      <c r="J46" s="49"/>
      <c r="K46" s="85"/>
      <c r="L46" s="85"/>
      <c r="M46" s="76"/>
      <c r="N46" s="99"/>
      <c r="O46" s="51"/>
      <c r="P46" s="51"/>
      <c r="Q46" s="51"/>
      <c r="R46" s="51"/>
      <c r="S46" s="51"/>
      <c r="T46" s="51"/>
      <c r="U46" s="51"/>
      <c r="V46" s="96"/>
    </row>
    <row r="47" spans="1:22" s="97" customFormat="1" x14ac:dyDescent="0.2">
      <c r="A47" s="74" t="s">
        <v>3</v>
      </c>
      <c r="B47" s="100" t="s">
        <v>453</v>
      </c>
      <c r="C47" s="74">
        <f>C48+C56+C59</f>
        <v>106</v>
      </c>
      <c r="D47" s="75"/>
      <c r="E47" s="75"/>
      <c r="F47" s="75"/>
      <c r="G47" s="75"/>
      <c r="H47" s="75"/>
      <c r="I47" s="74"/>
      <c r="J47" s="75"/>
      <c r="K47" s="74"/>
      <c r="L47" s="74"/>
      <c r="M47" s="76">
        <f>M48+M56+M59</f>
        <v>14886995</v>
      </c>
      <c r="N47" s="76">
        <f t="shared" ref="N47:U47" si="30">N48+N56+N59</f>
        <v>7194174</v>
      </c>
      <c r="O47" s="76">
        <f t="shared" si="30"/>
        <v>5169096</v>
      </c>
      <c r="P47" s="76">
        <f t="shared" si="30"/>
        <v>4777677</v>
      </c>
      <c r="Q47" s="76">
        <f t="shared" si="30"/>
        <v>494186</v>
      </c>
      <c r="R47" s="76">
        <f t="shared" si="30"/>
        <v>1842000</v>
      </c>
      <c r="S47" s="76">
        <f t="shared" si="30"/>
        <v>1814491</v>
      </c>
      <c r="T47" s="76">
        <f t="shared" si="30"/>
        <v>0</v>
      </c>
      <c r="U47" s="76">
        <f t="shared" si="30"/>
        <v>627000</v>
      </c>
      <c r="V47" s="96"/>
    </row>
    <row r="48" spans="1:22" s="97" customFormat="1" x14ac:dyDescent="0.2">
      <c r="A48" s="74" t="s">
        <v>228</v>
      </c>
      <c r="B48" s="53" t="s">
        <v>468</v>
      </c>
      <c r="C48" s="74">
        <f>C49+C55</f>
        <v>4</v>
      </c>
      <c r="D48" s="75"/>
      <c r="E48" s="75"/>
      <c r="F48" s="75"/>
      <c r="G48" s="75"/>
      <c r="H48" s="75"/>
      <c r="I48" s="74"/>
      <c r="J48" s="75"/>
      <c r="K48" s="77"/>
      <c r="L48" s="77"/>
      <c r="M48" s="77">
        <f>M49+M55</f>
        <v>120142</v>
      </c>
      <c r="N48" s="77">
        <f t="shared" ref="N48:U48" si="31">N49+N55</f>
        <v>87729</v>
      </c>
      <c r="O48" s="77">
        <f t="shared" si="31"/>
        <v>406000</v>
      </c>
      <c r="P48" s="77">
        <f t="shared" si="31"/>
        <v>40000</v>
      </c>
      <c r="Q48" s="77">
        <f t="shared" si="31"/>
        <v>20000</v>
      </c>
      <c r="R48" s="77">
        <f t="shared" si="31"/>
        <v>20000</v>
      </c>
      <c r="S48" s="77">
        <f t="shared" si="31"/>
        <v>0</v>
      </c>
      <c r="T48" s="77">
        <f t="shared" si="31"/>
        <v>0</v>
      </c>
      <c r="U48" s="77">
        <f t="shared" si="31"/>
        <v>0</v>
      </c>
      <c r="V48" s="96"/>
    </row>
    <row r="49" spans="1:22" s="97" customFormat="1" x14ac:dyDescent="0.2">
      <c r="A49" s="74" t="s">
        <v>4</v>
      </c>
      <c r="B49" s="53" t="s">
        <v>469</v>
      </c>
      <c r="C49" s="74">
        <f>SUM(C50:C54)</f>
        <v>4</v>
      </c>
      <c r="D49" s="75"/>
      <c r="E49" s="75"/>
      <c r="F49" s="75"/>
      <c r="G49" s="75"/>
      <c r="H49" s="75"/>
      <c r="I49" s="74"/>
      <c r="J49" s="75"/>
      <c r="K49" s="74"/>
      <c r="L49" s="74"/>
      <c r="M49" s="76">
        <f>SUM(M50:M54)</f>
        <v>7500</v>
      </c>
      <c r="N49" s="76">
        <f t="shared" ref="N49:U49" si="32">SUM(N50:N54)</f>
        <v>1070</v>
      </c>
      <c r="O49" s="76">
        <f t="shared" si="32"/>
        <v>386000</v>
      </c>
      <c r="P49" s="76">
        <f t="shared" si="32"/>
        <v>20000</v>
      </c>
      <c r="Q49" s="76">
        <f t="shared" si="32"/>
        <v>10000</v>
      </c>
      <c r="R49" s="76">
        <f t="shared" si="32"/>
        <v>10000</v>
      </c>
      <c r="S49" s="76">
        <f t="shared" si="32"/>
        <v>0</v>
      </c>
      <c r="T49" s="76">
        <f t="shared" si="32"/>
        <v>0</v>
      </c>
      <c r="U49" s="76">
        <f t="shared" si="32"/>
        <v>0</v>
      </c>
      <c r="V49" s="96"/>
    </row>
    <row r="50" spans="1:22" ht="31.5" x14ac:dyDescent="0.2">
      <c r="A50" s="47">
        <v>1</v>
      </c>
      <c r="B50" s="52" t="s">
        <v>278</v>
      </c>
      <c r="C50" s="47">
        <v>1</v>
      </c>
      <c r="D50" s="49" t="s">
        <v>73</v>
      </c>
      <c r="E50" s="49"/>
      <c r="F50" s="49" t="s">
        <v>219</v>
      </c>
      <c r="G50" s="49"/>
      <c r="H50" s="49"/>
      <c r="I50" s="54"/>
      <c r="J50" s="55"/>
      <c r="K50" s="56">
        <v>1371.9970000000001</v>
      </c>
      <c r="L50" s="51">
        <v>1000</v>
      </c>
      <c r="M50" s="51">
        <v>1000</v>
      </c>
      <c r="N50" s="99">
        <v>0</v>
      </c>
      <c r="O50" s="51">
        <v>35000</v>
      </c>
      <c r="P50" s="51">
        <f>SUM(Q50:U50)</f>
        <v>1000</v>
      </c>
      <c r="Q50" s="51"/>
      <c r="R50" s="51">
        <v>1000</v>
      </c>
      <c r="S50" s="51"/>
      <c r="T50" s="51"/>
      <c r="U50" s="51"/>
      <c r="V50" s="51"/>
    </row>
    <row r="51" spans="1:22" ht="31.5" x14ac:dyDescent="0.2">
      <c r="A51" s="47">
        <v>2</v>
      </c>
      <c r="B51" s="52" t="s">
        <v>279</v>
      </c>
      <c r="C51" s="47">
        <v>1</v>
      </c>
      <c r="D51" s="49" t="s">
        <v>71</v>
      </c>
      <c r="E51" s="49"/>
      <c r="F51" s="49" t="s">
        <v>219</v>
      </c>
      <c r="G51" s="49"/>
      <c r="H51" s="49"/>
      <c r="I51" s="54"/>
      <c r="J51" s="55"/>
      <c r="K51" s="56">
        <v>1471.2239999999999</v>
      </c>
      <c r="L51" s="51">
        <v>1000</v>
      </c>
      <c r="M51" s="51">
        <v>1000</v>
      </c>
      <c r="N51" s="99">
        <v>0</v>
      </c>
      <c r="O51" s="51">
        <v>35000</v>
      </c>
      <c r="P51" s="51">
        <f t="shared" ref="P51:P55" si="33">SUM(Q51:U51)</f>
        <v>1000</v>
      </c>
      <c r="Q51" s="51"/>
      <c r="R51" s="51">
        <v>1000</v>
      </c>
      <c r="S51" s="51"/>
      <c r="T51" s="51"/>
      <c r="U51" s="51"/>
      <c r="V51" s="51"/>
    </row>
    <row r="52" spans="1:22" ht="47.25" x14ac:dyDescent="0.2">
      <c r="A52" s="47">
        <v>3</v>
      </c>
      <c r="B52" s="57" t="s">
        <v>280</v>
      </c>
      <c r="C52" s="47">
        <v>1</v>
      </c>
      <c r="D52" s="49" t="s">
        <v>73</v>
      </c>
      <c r="E52" s="49"/>
      <c r="F52" s="49" t="s">
        <v>281</v>
      </c>
      <c r="G52" s="49"/>
      <c r="H52" s="49"/>
      <c r="I52" s="49"/>
      <c r="J52" s="49"/>
      <c r="K52" s="51">
        <v>500</v>
      </c>
      <c r="L52" s="51">
        <v>500</v>
      </c>
      <c r="M52" s="51">
        <v>500</v>
      </c>
      <c r="N52" s="99">
        <v>0</v>
      </c>
      <c r="O52" s="51">
        <v>40000</v>
      </c>
      <c r="P52" s="51">
        <f t="shared" si="33"/>
        <v>500</v>
      </c>
      <c r="Q52" s="51">
        <v>500</v>
      </c>
      <c r="R52" s="51"/>
      <c r="S52" s="51"/>
      <c r="T52" s="51"/>
      <c r="U52" s="51"/>
      <c r="V52" s="51"/>
    </row>
    <row r="53" spans="1:22" ht="47.25" x14ac:dyDescent="0.2">
      <c r="A53" s="47">
        <v>4</v>
      </c>
      <c r="B53" s="52" t="s">
        <v>282</v>
      </c>
      <c r="C53" s="47">
        <v>1</v>
      </c>
      <c r="D53" s="49" t="s">
        <v>283</v>
      </c>
      <c r="E53" s="49"/>
      <c r="F53" s="49" t="s">
        <v>182</v>
      </c>
      <c r="G53" s="49"/>
      <c r="H53" s="49"/>
      <c r="I53" s="49"/>
      <c r="J53" s="49"/>
      <c r="K53" s="58">
        <v>5000</v>
      </c>
      <c r="L53" s="51">
        <v>5000</v>
      </c>
      <c r="M53" s="51">
        <v>5000</v>
      </c>
      <c r="N53" s="99">
        <v>1070</v>
      </c>
      <c r="O53" s="51">
        <v>256000</v>
      </c>
      <c r="P53" s="51">
        <f t="shared" si="33"/>
        <v>3930</v>
      </c>
      <c r="Q53" s="51"/>
      <c r="R53" s="51">
        <v>3930</v>
      </c>
      <c r="S53" s="51"/>
      <c r="T53" s="51"/>
      <c r="U53" s="51"/>
      <c r="V53" s="51"/>
    </row>
    <row r="54" spans="1:22" x14ac:dyDescent="0.2">
      <c r="A54" s="47"/>
      <c r="B54" s="52" t="s">
        <v>470</v>
      </c>
      <c r="C54" s="47"/>
      <c r="D54" s="49"/>
      <c r="E54" s="49"/>
      <c r="F54" s="49"/>
      <c r="G54" s="49"/>
      <c r="H54" s="49"/>
      <c r="I54" s="49"/>
      <c r="J54" s="49"/>
      <c r="K54" s="58"/>
      <c r="L54" s="51"/>
      <c r="M54" s="51"/>
      <c r="N54" s="99"/>
      <c r="O54" s="51">
        <v>20000</v>
      </c>
      <c r="P54" s="51">
        <f t="shared" si="33"/>
        <v>13570</v>
      </c>
      <c r="Q54" s="51">
        <v>9500</v>
      </c>
      <c r="R54" s="51">
        <v>4070</v>
      </c>
      <c r="S54" s="51"/>
      <c r="T54" s="51"/>
      <c r="U54" s="51"/>
      <c r="V54" s="47" t="s">
        <v>229</v>
      </c>
    </row>
    <row r="55" spans="1:22" s="64" customFormat="1" x14ac:dyDescent="0.2">
      <c r="A55" s="74" t="s">
        <v>10</v>
      </c>
      <c r="B55" s="101" t="s">
        <v>471</v>
      </c>
      <c r="C55" s="74"/>
      <c r="D55" s="75"/>
      <c r="E55" s="75"/>
      <c r="F55" s="75"/>
      <c r="G55" s="75"/>
      <c r="H55" s="75"/>
      <c r="I55" s="102"/>
      <c r="J55" s="75"/>
      <c r="K55" s="77"/>
      <c r="L55" s="77"/>
      <c r="M55" s="77">
        <v>112642</v>
      </c>
      <c r="N55" s="134">
        <v>86659</v>
      </c>
      <c r="O55" s="77">
        <v>20000</v>
      </c>
      <c r="P55" s="77">
        <f t="shared" si="33"/>
        <v>20000</v>
      </c>
      <c r="Q55" s="77">
        <v>10000</v>
      </c>
      <c r="R55" s="77">
        <v>10000</v>
      </c>
      <c r="S55" s="77"/>
      <c r="T55" s="77"/>
      <c r="U55" s="77"/>
      <c r="V55" s="74" t="s">
        <v>229</v>
      </c>
    </row>
    <row r="56" spans="1:22" ht="47.25" x14ac:dyDescent="0.2">
      <c r="A56" s="74" t="s">
        <v>472</v>
      </c>
      <c r="B56" s="53" t="s">
        <v>277</v>
      </c>
      <c r="C56" s="74">
        <v>0</v>
      </c>
      <c r="D56" s="75"/>
      <c r="E56" s="75"/>
      <c r="F56" s="75"/>
      <c r="G56" s="75"/>
      <c r="H56" s="75"/>
      <c r="I56" s="102"/>
      <c r="J56" s="75"/>
      <c r="K56" s="77"/>
      <c r="L56" s="77"/>
      <c r="M56" s="77">
        <f>M57+M58</f>
        <v>142855</v>
      </c>
      <c r="N56" s="77">
        <f t="shared" ref="N56:U56" si="34">N57+N58</f>
        <v>48215</v>
      </c>
      <c r="O56" s="77">
        <f t="shared" si="34"/>
        <v>0</v>
      </c>
      <c r="P56" s="77">
        <f t="shared" si="34"/>
        <v>74000</v>
      </c>
      <c r="Q56" s="77">
        <f t="shared" si="34"/>
        <v>0</v>
      </c>
      <c r="R56" s="77">
        <f t="shared" si="34"/>
        <v>0</v>
      </c>
      <c r="S56" s="77">
        <f t="shared" si="34"/>
        <v>0</v>
      </c>
      <c r="T56" s="77">
        <f t="shared" si="34"/>
        <v>0</v>
      </c>
      <c r="U56" s="77">
        <f t="shared" si="34"/>
        <v>74000</v>
      </c>
      <c r="V56" s="51"/>
    </row>
    <row r="57" spans="1:22" ht="88.5" customHeight="1" x14ac:dyDescent="0.2">
      <c r="A57" s="47">
        <v>1</v>
      </c>
      <c r="B57" s="48" t="s">
        <v>994</v>
      </c>
      <c r="C57" s="47"/>
      <c r="D57" s="49"/>
      <c r="E57" s="49"/>
      <c r="F57" s="49"/>
      <c r="G57" s="49"/>
      <c r="H57" s="49"/>
      <c r="I57" s="50"/>
      <c r="J57" s="49"/>
      <c r="K57" s="51"/>
      <c r="L57" s="51"/>
      <c r="M57" s="51">
        <v>50000</v>
      </c>
      <c r="N57" s="99">
        <v>0</v>
      </c>
      <c r="O57" s="51"/>
      <c r="P57" s="51">
        <v>34000</v>
      </c>
      <c r="Q57" s="51"/>
      <c r="R57" s="51"/>
      <c r="S57" s="51"/>
      <c r="T57" s="51"/>
      <c r="U57" s="51">
        <v>34000</v>
      </c>
      <c r="V57" s="51"/>
    </row>
    <row r="58" spans="1:22" s="64" customFormat="1" ht="31.5" x14ac:dyDescent="0.2">
      <c r="A58" s="47">
        <v>2</v>
      </c>
      <c r="B58" s="52" t="s">
        <v>276</v>
      </c>
      <c r="C58" s="47"/>
      <c r="D58" s="49"/>
      <c r="E58" s="49"/>
      <c r="F58" s="49"/>
      <c r="G58" s="49"/>
      <c r="H58" s="49"/>
      <c r="I58" s="50"/>
      <c r="J58" s="49"/>
      <c r="K58" s="51"/>
      <c r="L58" s="51"/>
      <c r="M58" s="51">
        <v>92855</v>
      </c>
      <c r="N58" s="99">
        <v>48215</v>
      </c>
      <c r="O58" s="51"/>
      <c r="P58" s="51">
        <v>40000</v>
      </c>
      <c r="Q58" s="51"/>
      <c r="R58" s="51"/>
      <c r="S58" s="51"/>
      <c r="T58" s="51"/>
      <c r="U58" s="51">
        <v>40000</v>
      </c>
      <c r="V58" s="77"/>
    </row>
    <row r="59" spans="1:22" s="64" customFormat="1" x14ac:dyDescent="0.2">
      <c r="A59" s="74" t="s">
        <v>473</v>
      </c>
      <c r="B59" s="103" t="s">
        <v>22</v>
      </c>
      <c r="C59" s="74">
        <f>C60+C67+C75+C205+C208+C216+C226+C240+C249+C358+C368</f>
        <v>102</v>
      </c>
      <c r="D59" s="75"/>
      <c r="E59" s="75"/>
      <c r="F59" s="75"/>
      <c r="G59" s="75"/>
      <c r="H59" s="75"/>
      <c r="I59" s="75"/>
      <c r="J59" s="75"/>
      <c r="K59" s="77"/>
      <c r="L59" s="77"/>
      <c r="M59" s="77">
        <f t="shared" ref="M59:U59" si="35">M60+M67+M75+M205+M208+M216+M226+M240+M249+M358+M368</f>
        <v>14623998</v>
      </c>
      <c r="N59" s="77">
        <f t="shared" si="35"/>
        <v>7058230</v>
      </c>
      <c r="O59" s="77">
        <f t="shared" si="35"/>
        <v>4763096</v>
      </c>
      <c r="P59" s="77">
        <f t="shared" si="35"/>
        <v>4663677</v>
      </c>
      <c r="Q59" s="77">
        <f t="shared" si="35"/>
        <v>474186</v>
      </c>
      <c r="R59" s="77">
        <f t="shared" si="35"/>
        <v>1822000</v>
      </c>
      <c r="S59" s="77">
        <f t="shared" si="35"/>
        <v>1814491</v>
      </c>
      <c r="T59" s="77">
        <f t="shared" si="35"/>
        <v>0</v>
      </c>
      <c r="U59" s="77">
        <f t="shared" si="35"/>
        <v>553000</v>
      </c>
      <c r="V59" s="77"/>
    </row>
    <row r="60" spans="1:22" x14ac:dyDescent="0.2">
      <c r="A60" s="74" t="s">
        <v>4</v>
      </c>
      <c r="B60" s="53" t="s">
        <v>38</v>
      </c>
      <c r="C60" s="74">
        <f>C64+C61</f>
        <v>2</v>
      </c>
      <c r="D60" s="75"/>
      <c r="E60" s="75"/>
      <c r="F60" s="75"/>
      <c r="G60" s="75"/>
      <c r="H60" s="75"/>
      <c r="I60" s="75"/>
      <c r="J60" s="75"/>
      <c r="K60" s="77">
        <f t="shared" ref="K60:U60" si="36">K64+K61</f>
        <v>15936.067999999999</v>
      </c>
      <c r="L60" s="77">
        <f t="shared" si="36"/>
        <v>15500</v>
      </c>
      <c r="M60" s="77">
        <f t="shared" si="36"/>
        <v>15500</v>
      </c>
      <c r="N60" s="77">
        <f t="shared" si="36"/>
        <v>5200</v>
      </c>
      <c r="O60" s="77">
        <f t="shared" si="36"/>
        <v>14000</v>
      </c>
      <c r="P60" s="77">
        <f t="shared" si="36"/>
        <v>10300</v>
      </c>
      <c r="Q60" s="77">
        <f t="shared" si="36"/>
        <v>10300</v>
      </c>
      <c r="R60" s="77">
        <f t="shared" si="36"/>
        <v>0</v>
      </c>
      <c r="S60" s="77">
        <f t="shared" si="36"/>
        <v>0</v>
      </c>
      <c r="T60" s="77">
        <f t="shared" si="36"/>
        <v>0</v>
      </c>
      <c r="U60" s="77">
        <f t="shared" si="36"/>
        <v>0</v>
      </c>
      <c r="V60" s="51"/>
    </row>
    <row r="61" spans="1:22" x14ac:dyDescent="0.2">
      <c r="A61" s="78" t="s">
        <v>33</v>
      </c>
      <c r="B61" s="93" t="s">
        <v>475</v>
      </c>
      <c r="C61" s="78">
        <f>C62+C63</f>
        <v>2</v>
      </c>
      <c r="D61" s="80">
        <v>0</v>
      </c>
      <c r="E61" s="80"/>
      <c r="F61" s="80"/>
      <c r="G61" s="80"/>
      <c r="H61" s="80"/>
      <c r="I61" s="80"/>
      <c r="J61" s="80"/>
      <c r="K61" s="82">
        <f>K62+K63</f>
        <v>15936.067999999999</v>
      </c>
      <c r="L61" s="82">
        <f t="shared" ref="L61:U61" si="37">L62+L63</f>
        <v>15500</v>
      </c>
      <c r="M61" s="82">
        <f t="shared" si="37"/>
        <v>15500</v>
      </c>
      <c r="N61" s="82">
        <f t="shared" si="37"/>
        <v>5200</v>
      </c>
      <c r="O61" s="82">
        <f t="shared" si="37"/>
        <v>14000</v>
      </c>
      <c r="P61" s="82">
        <f t="shared" si="37"/>
        <v>10300</v>
      </c>
      <c r="Q61" s="82">
        <f t="shared" si="37"/>
        <v>10300</v>
      </c>
      <c r="R61" s="82">
        <f t="shared" si="37"/>
        <v>0</v>
      </c>
      <c r="S61" s="82">
        <f t="shared" si="37"/>
        <v>0</v>
      </c>
      <c r="T61" s="82">
        <f t="shared" si="37"/>
        <v>0</v>
      </c>
      <c r="U61" s="82">
        <f t="shared" si="37"/>
        <v>0</v>
      </c>
      <c r="V61" s="51"/>
    </row>
    <row r="62" spans="1:22" ht="47.25" x14ac:dyDescent="0.2">
      <c r="A62" s="47">
        <v>1</v>
      </c>
      <c r="B62" s="293" t="s">
        <v>286</v>
      </c>
      <c r="C62" s="47">
        <v>1</v>
      </c>
      <c r="D62" s="49" t="s">
        <v>73</v>
      </c>
      <c r="E62" s="49"/>
      <c r="F62" s="294" t="s">
        <v>23</v>
      </c>
      <c r="G62" s="294"/>
      <c r="H62" s="294"/>
      <c r="I62" s="54" t="s">
        <v>537</v>
      </c>
      <c r="J62" s="55" t="s">
        <v>287</v>
      </c>
      <c r="K62" s="56">
        <v>4526.808</v>
      </c>
      <c r="L62" s="51">
        <v>4500</v>
      </c>
      <c r="M62" s="51">
        <v>4500</v>
      </c>
      <c r="N62" s="99">
        <v>2500</v>
      </c>
      <c r="O62" s="51">
        <v>4000</v>
      </c>
      <c r="P62" s="51">
        <f>SUM(Q62:U62)</f>
        <v>2000</v>
      </c>
      <c r="Q62" s="51">
        <v>2000</v>
      </c>
      <c r="R62" s="51"/>
      <c r="S62" s="51"/>
      <c r="T62" s="51"/>
      <c r="U62" s="51"/>
      <c r="V62" s="51"/>
    </row>
    <row r="63" spans="1:22" ht="47.25" x14ac:dyDescent="0.2">
      <c r="A63" s="47">
        <v>2</v>
      </c>
      <c r="B63" s="293" t="s">
        <v>288</v>
      </c>
      <c r="C63" s="47">
        <v>1</v>
      </c>
      <c r="D63" s="49" t="s">
        <v>73</v>
      </c>
      <c r="E63" s="49"/>
      <c r="F63" s="294" t="s">
        <v>23</v>
      </c>
      <c r="G63" s="294"/>
      <c r="H63" s="294"/>
      <c r="I63" s="54" t="s">
        <v>537</v>
      </c>
      <c r="J63" s="55" t="s">
        <v>289</v>
      </c>
      <c r="K63" s="56">
        <v>11409.26</v>
      </c>
      <c r="L63" s="51">
        <v>11000</v>
      </c>
      <c r="M63" s="51">
        <v>11000</v>
      </c>
      <c r="N63" s="99">
        <v>2700</v>
      </c>
      <c r="O63" s="51">
        <v>10000</v>
      </c>
      <c r="P63" s="51">
        <f>SUM(Q63:U63)</f>
        <v>8300</v>
      </c>
      <c r="Q63" s="51">
        <v>8300</v>
      </c>
      <c r="R63" s="51"/>
      <c r="S63" s="51"/>
      <c r="T63" s="51"/>
      <c r="U63" s="51"/>
      <c r="V63" s="51"/>
    </row>
    <row r="64" spans="1:22" hidden="1" x14ac:dyDescent="0.2">
      <c r="A64" s="78" t="s">
        <v>34</v>
      </c>
      <c r="B64" s="93" t="s">
        <v>474</v>
      </c>
      <c r="C64" s="78">
        <f>C65+C66</f>
        <v>0</v>
      </c>
      <c r="D64" s="80"/>
      <c r="E64" s="80"/>
      <c r="F64" s="80"/>
      <c r="G64" s="80"/>
      <c r="H64" s="80"/>
      <c r="I64" s="80"/>
      <c r="J64" s="80"/>
      <c r="K64" s="82">
        <f>K65+K66</f>
        <v>0</v>
      </c>
      <c r="L64" s="82">
        <f t="shared" ref="L64:U64" si="38">L65+L66</f>
        <v>0</v>
      </c>
      <c r="M64" s="82">
        <f t="shared" si="38"/>
        <v>0</v>
      </c>
      <c r="N64" s="82">
        <f t="shared" si="38"/>
        <v>0</v>
      </c>
      <c r="O64" s="82">
        <f t="shared" si="38"/>
        <v>0</v>
      </c>
      <c r="P64" s="82">
        <f t="shared" si="38"/>
        <v>0</v>
      </c>
      <c r="Q64" s="82">
        <f t="shared" si="38"/>
        <v>0</v>
      </c>
      <c r="R64" s="82">
        <f t="shared" si="38"/>
        <v>0</v>
      </c>
      <c r="S64" s="82">
        <f t="shared" si="38"/>
        <v>0</v>
      </c>
      <c r="T64" s="82">
        <f t="shared" si="38"/>
        <v>0</v>
      </c>
      <c r="U64" s="82">
        <f t="shared" si="38"/>
        <v>0</v>
      </c>
      <c r="V64" s="47"/>
    </row>
    <row r="65" spans="1:22" s="64" customFormat="1" ht="57" hidden="1" customHeight="1" x14ac:dyDescent="0.2">
      <c r="A65" s="47"/>
      <c r="B65" s="293"/>
      <c r="C65" s="47"/>
      <c r="D65" s="49"/>
      <c r="E65" s="49"/>
      <c r="F65" s="294"/>
      <c r="G65" s="294"/>
      <c r="H65" s="294"/>
      <c r="I65" s="54"/>
      <c r="J65" s="49"/>
      <c r="K65" s="56"/>
      <c r="L65" s="51"/>
      <c r="M65" s="51"/>
      <c r="N65" s="99"/>
      <c r="O65" s="51"/>
      <c r="P65" s="51"/>
      <c r="Q65" s="51"/>
      <c r="R65" s="51"/>
      <c r="S65" s="51"/>
      <c r="T65" s="51"/>
      <c r="U65" s="51"/>
      <c r="V65" s="74"/>
    </row>
    <row r="66" spans="1:22" s="64" customFormat="1" ht="59.25" hidden="1" customHeight="1" x14ac:dyDescent="0.2">
      <c r="A66" s="47"/>
      <c r="B66" s="52"/>
      <c r="C66" s="47"/>
      <c r="D66" s="49"/>
      <c r="E66" s="49"/>
      <c r="F66" s="49"/>
      <c r="G66" s="49"/>
      <c r="H66" s="49"/>
      <c r="I66" s="54"/>
      <c r="J66" s="49"/>
      <c r="K66" s="56"/>
      <c r="L66" s="51"/>
      <c r="M66" s="51"/>
      <c r="N66" s="99"/>
      <c r="O66" s="51"/>
      <c r="P66" s="51"/>
      <c r="Q66" s="51"/>
      <c r="R66" s="51"/>
      <c r="S66" s="51"/>
      <c r="T66" s="51"/>
      <c r="U66" s="51"/>
      <c r="V66" s="77"/>
    </row>
    <row r="67" spans="1:22" s="64" customFormat="1" x14ac:dyDescent="0.2">
      <c r="A67" s="74" t="s">
        <v>10</v>
      </c>
      <c r="B67" s="103" t="s">
        <v>39</v>
      </c>
      <c r="C67" s="74">
        <f>C68+C71</f>
        <v>5</v>
      </c>
      <c r="D67" s="75"/>
      <c r="E67" s="75"/>
      <c r="F67" s="75"/>
      <c r="G67" s="75"/>
      <c r="H67" s="75"/>
      <c r="I67" s="75"/>
      <c r="J67" s="75"/>
      <c r="K67" s="77">
        <f>K68+K71</f>
        <v>131861.92300000001</v>
      </c>
      <c r="L67" s="77">
        <f t="shared" ref="L67:U67" si="39">L68+L71</f>
        <v>120800</v>
      </c>
      <c r="M67" s="77">
        <f t="shared" si="39"/>
        <v>120800</v>
      </c>
      <c r="N67" s="77">
        <f t="shared" si="39"/>
        <v>61000</v>
      </c>
      <c r="O67" s="77">
        <f t="shared" si="39"/>
        <v>63800</v>
      </c>
      <c r="P67" s="77">
        <f t="shared" si="39"/>
        <v>59800</v>
      </c>
      <c r="Q67" s="77">
        <f t="shared" si="39"/>
        <v>59800</v>
      </c>
      <c r="R67" s="77">
        <f t="shared" si="39"/>
        <v>0</v>
      </c>
      <c r="S67" s="77">
        <f t="shared" si="39"/>
        <v>0</v>
      </c>
      <c r="T67" s="77">
        <f t="shared" si="39"/>
        <v>0</v>
      </c>
      <c r="U67" s="77">
        <f t="shared" si="39"/>
        <v>0</v>
      </c>
      <c r="V67" s="77"/>
    </row>
    <row r="68" spans="1:22" s="83" customFormat="1" x14ac:dyDescent="0.2">
      <c r="A68" s="74" t="s">
        <v>33</v>
      </c>
      <c r="B68" s="93" t="s">
        <v>686</v>
      </c>
      <c r="C68" s="74">
        <f>C69+C70</f>
        <v>2</v>
      </c>
      <c r="D68" s="75"/>
      <c r="E68" s="75"/>
      <c r="F68" s="75"/>
      <c r="G68" s="75"/>
      <c r="H68" s="75"/>
      <c r="I68" s="75"/>
      <c r="J68" s="75"/>
      <c r="K68" s="77">
        <f>K69+K70</f>
        <v>25671.931</v>
      </c>
      <c r="L68" s="77">
        <f t="shared" ref="L68:U68" si="40">L69+L70</f>
        <v>25700</v>
      </c>
      <c r="M68" s="77">
        <f t="shared" si="40"/>
        <v>25700</v>
      </c>
      <c r="N68" s="77">
        <f t="shared" si="40"/>
        <v>21000</v>
      </c>
      <c r="O68" s="77">
        <f t="shared" si="40"/>
        <v>8700</v>
      </c>
      <c r="P68" s="77">
        <f t="shared" si="40"/>
        <v>4700</v>
      </c>
      <c r="Q68" s="77">
        <f t="shared" si="40"/>
        <v>4700</v>
      </c>
      <c r="R68" s="77">
        <f t="shared" si="40"/>
        <v>0</v>
      </c>
      <c r="S68" s="77">
        <f t="shared" si="40"/>
        <v>0</v>
      </c>
      <c r="T68" s="77">
        <f t="shared" si="40"/>
        <v>0</v>
      </c>
      <c r="U68" s="77">
        <f t="shared" si="40"/>
        <v>0</v>
      </c>
      <c r="V68" s="82"/>
    </row>
    <row r="69" spans="1:22" ht="47.25" x14ac:dyDescent="0.2">
      <c r="A69" s="47">
        <v>1</v>
      </c>
      <c r="B69" s="52" t="s">
        <v>292</v>
      </c>
      <c r="C69" s="47">
        <v>1</v>
      </c>
      <c r="D69" s="49"/>
      <c r="E69" s="49"/>
      <c r="F69" s="49" t="s">
        <v>24</v>
      </c>
      <c r="G69" s="49"/>
      <c r="H69" s="49"/>
      <c r="I69" s="49" t="s">
        <v>75</v>
      </c>
      <c r="J69" s="55" t="s">
        <v>235</v>
      </c>
      <c r="K69" s="51">
        <v>12504.312</v>
      </c>
      <c r="L69" s="51">
        <v>12500</v>
      </c>
      <c r="M69" s="51">
        <v>12500</v>
      </c>
      <c r="N69" s="99">
        <v>10500</v>
      </c>
      <c r="O69" s="51">
        <v>4000</v>
      </c>
      <c r="P69" s="51">
        <f>SUM(Q69:U69)</f>
        <v>2000</v>
      </c>
      <c r="Q69" s="51">
        <v>2000</v>
      </c>
      <c r="R69" s="51"/>
      <c r="S69" s="51"/>
      <c r="T69" s="51"/>
      <c r="U69" s="51"/>
      <c r="V69" s="51"/>
    </row>
    <row r="70" spans="1:22" ht="47.25" x14ac:dyDescent="0.2">
      <c r="A70" s="47">
        <v>2</v>
      </c>
      <c r="B70" s="52" t="s">
        <v>293</v>
      </c>
      <c r="C70" s="47">
        <v>1</v>
      </c>
      <c r="D70" s="49"/>
      <c r="E70" s="49"/>
      <c r="F70" s="49" t="s">
        <v>24</v>
      </c>
      <c r="G70" s="49"/>
      <c r="H70" s="49"/>
      <c r="I70" s="49" t="s">
        <v>75</v>
      </c>
      <c r="J70" s="55" t="s">
        <v>236</v>
      </c>
      <c r="K70" s="51">
        <v>13167.619000000001</v>
      </c>
      <c r="L70" s="51">
        <v>13200</v>
      </c>
      <c r="M70" s="51">
        <v>13200</v>
      </c>
      <c r="N70" s="99">
        <v>10500</v>
      </c>
      <c r="O70" s="51">
        <v>4700</v>
      </c>
      <c r="P70" s="51">
        <f>SUM(Q70:U70)</f>
        <v>2700</v>
      </c>
      <c r="Q70" s="51">
        <v>2700</v>
      </c>
      <c r="R70" s="51"/>
      <c r="S70" s="51"/>
      <c r="T70" s="51"/>
      <c r="U70" s="51"/>
      <c r="V70" s="51"/>
    </row>
    <row r="71" spans="1:22" s="83" customFormat="1" x14ac:dyDescent="0.2">
      <c r="A71" s="78" t="s">
        <v>34</v>
      </c>
      <c r="B71" s="93" t="s">
        <v>475</v>
      </c>
      <c r="C71" s="78">
        <f>C72+C73+C74</f>
        <v>3</v>
      </c>
      <c r="D71" s="80">
        <v>0</v>
      </c>
      <c r="E71" s="80"/>
      <c r="F71" s="80"/>
      <c r="G71" s="80"/>
      <c r="H71" s="80"/>
      <c r="I71" s="80"/>
      <c r="J71" s="80"/>
      <c r="K71" s="94">
        <f>K72+K73+K74</f>
        <v>106189.992</v>
      </c>
      <c r="L71" s="94">
        <f t="shared" ref="L71:U71" si="41">L72+L73+L74</f>
        <v>95100</v>
      </c>
      <c r="M71" s="94">
        <f t="shared" si="41"/>
        <v>95100</v>
      </c>
      <c r="N71" s="94">
        <f t="shared" si="41"/>
        <v>40000</v>
      </c>
      <c r="O71" s="94">
        <f t="shared" si="41"/>
        <v>55100</v>
      </c>
      <c r="P71" s="94">
        <f t="shared" si="41"/>
        <v>55100</v>
      </c>
      <c r="Q71" s="94">
        <f t="shared" si="41"/>
        <v>55100</v>
      </c>
      <c r="R71" s="94">
        <f t="shared" si="41"/>
        <v>0</v>
      </c>
      <c r="S71" s="94">
        <f t="shared" si="41"/>
        <v>0</v>
      </c>
      <c r="T71" s="94">
        <f t="shared" si="41"/>
        <v>0</v>
      </c>
      <c r="U71" s="94">
        <f t="shared" si="41"/>
        <v>0</v>
      </c>
      <c r="V71" s="82"/>
    </row>
    <row r="72" spans="1:22" ht="47.25" x14ac:dyDescent="0.2">
      <c r="A72" s="47">
        <v>1</v>
      </c>
      <c r="B72" s="52" t="s">
        <v>294</v>
      </c>
      <c r="C72" s="47">
        <v>1</v>
      </c>
      <c r="D72" s="49"/>
      <c r="E72" s="49"/>
      <c r="F72" s="49" t="s">
        <v>24</v>
      </c>
      <c r="G72" s="49"/>
      <c r="H72" s="49"/>
      <c r="I72" s="49" t="s">
        <v>75</v>
      </c>
      <c r="J72" s="55" t="s">
        <v>241</v>
      </c>
      <c r="K72" s="51">
        <v>44948.610999999997</v>
      </c>
      <c r="L72" s="51">
        <v>40000</v>
      </c>
      <c r="M72" s="51">
        <v>40000</v>
      </c>
      <c r="N72" s="99">
        <v>20000</v>
      </c>
      <c r="O72" s="51">
        <v>20000</v>
      </c>
      <c r="P72" s="51">
        <f t="shared" ref="P72:P128" si="42">SUM(Q72:U72)</f>
        <v>20000</v>
      </c>
      <c r="Q72" s="51">
        <v>20000</v>
      </c>
      <c r="R72" s="51"/>
      <c r="S72" s="51"/>
      <c r="T72" s="51"/>
      <c r="U72" s="51"/>
      <c r="V72" s="51"/>
    </row>
    <row r="73" spans="1:22" ht="47.25" x14ac:dyDescent="0.2">
      <c r="A73" s="47">
        <v>2</v>
      </c>
      <c r="B73" s="52" t="s">
        <v>295</v>
      </c>
      <c r="C73" s="47">
        <v>1</v>
      </c>
      <c r="D73" s="49"/>
      <c r="E73" s="49"/>
      <c r="F73" s="49" t="s">
        <v>24</v>
      </c>
      <c r="G73" s="49"/>
      <c r="H73" s="49"/>
      <c r="I73" s="49" t="s">
        <v>75</v>
      </c>
      <c r="J73" s="55" t="s">
        <v>234</v>
      </c>
      <c r="K73" s="51">
        <v>33988.334000000003</v>
      </c>
      <c r="L73" s="51">
        <v>30600</v>
      </c>
      <c r="M73" s="51">
        <v>30600</v>
      </c>
      <c r="N73" s="99">
        <v>10000</v>
      </c>
      <c r="O73" s="51">
        <v>20600</v>
      </c>
      <c r="P73" s="51">
        <f t="shared" si="42"/>
        <v>20600</v>
      </c>
      <c r="Q73" s="51">
        <v>20600</v>
      </c>
      <c r="R73" s="51"/>
      <c r="S73" s="51"/>
      <c r="T73" s="51"/>
      <c r="U73" s="51"/>
      <c r="V73" s="51"/>
    </row>
    <row r="74" spans="1:22" s="64" customFormat="1" ht="47.25" x14ac:dyDescent="0.2">
      <c r="A74" s="47">
        <v>3</v>
      </c>
      <c r="B74" s="52" t="s">
        <v>476</v>
      </c>
      <c r="C74" s="47">
        <v>1</v>
      </c>
      <c r="D74" s="49"/>
      <c r="E74" s="49"/>
      <c r="F74" s="49" t="s">
        <v>24</v>
      </c>
      <c r="G74" s="49"/>
      <c r="H74" s="49"/>
      <c r="I74" s="49" t="s">
        <v>75</v>
      </c>
      <c r="J74" s="55" t="s">
        <v>477</v>
      </c>
      <c r="K74" s="51">
        <v>27253.046999999999</v>
      </c>
      <c r="L74" s="51">
        <v>24500</v>
      </c>
      <c r="M74" s="51">
        <v>24500</v>
      </c>
      <c r="N74" s="99">
        <v>10000</v>
      </c>
      <c r="O74" s="51">
        <v>14500</v>
      </c>
      <c r="P74" s="51">
        <f t="shared" si="42"/>
        <v>14500</v>
      </c>
      <c r="Q74" s="51">
        <v>14500</v>
      </c>
      <c r="R74" s="51"/>
      <c r="S74" s="51"/>
      <c r="T74" s="51"/>
      <c r="U74" s="51"/>
      <c r="V74" s="77"/>
    </row>
    <row r="75" spans="1:22" s="83" customFormat="1" ht="31.5" x14ac:dyDescent="0.2">
      <c r="A75" s="74" t="s">
        <v>12</v>
      </c>
      <c r="B75" s="53" t="s">
        <v>27</v>
      </c>
      <c r="C75" s="74">
        <v>4</v>
      </c>
      <c r="D75" s="75"/>
      <c r="E75" s="75"/>
      <c r="F75" s="75"/>
      <c r="G75" s="75"/>
      <c r="H75" s="75"/>
      <c r="I75" s="75"/>
      <c r="J75" s="75"/>
      <c r="K75" s="77">
        <f>K76+K203</f>
        <v>3150213.625</v>
      </c>
      <c r="L75" s="77">
        <f t="shared" ref="L75:U75" si="43">L76+L203</f>
        <v>3150274</v>
      </c>
      <c r="M75" s="77">
        <f t="shared" si="43"/>
        <v>2305565</v>
      </c>
      <c r="N75" s="77">
        <f t="shared" si="43"/>
        <v>1517844</v>
      </c>
      <c r="O75" s="77">
        <f t="shared" si="43"/>
        <v>718366</v>
      </c>
      <c r="P75" s="77">
        <f t="shared" si="43"/>
        <v>746637</v>
      </c>
      <c r="Q75" s="77">
        <f t="shared" si="43"/>
        <v>0</v>
      </c>
      <c r="R75" s="77">
        <f t="shared" si="43"/>
        <v>746637</v>
      </c>
      <c r="S75" s="77">
        <f t="shared" si="43"/>
        <v>0</v>
      </c>
      <c r="T75" s="77">
        <f t="shared" si="43"/>
        <v>0</v>
      </c>
      <c r="U75" s="77">
        <f t="shared" si="43"/>
        <v>0</v>
      </c>
      <c r="V75" s="82"/>
    </row>
    <row r="76" spans="1:22" x14ac:dyDescent="0.2">
      <c r="A76" s="78" t="s">
        <v>33</v>
      </c>
      <c r="B76" s="93" t="s">
        <v>475</v>
      </c>
      <c r="C76" s="78">
        <v>3</v>
      </c>
      <c r="D76" s="80">
        <v>0</v>
      </c>
      <c r="E76" s="80"/>
      <c r="F76" s="80"/>
      <c r="G76" s="80"/>
      <c r="H76" s="80"/>
      <c r="I76" s="80"/>
      <c r="J76" s="80"/>
      <c r="K76" s="82">
        <f>K77+K200+K201</f>
        <v>3131936.625</v>
      </c>
      <c r="L76" s="82">
        <f t="shared" ref="L76:U76" si="44">L77+L200+L201</f>
        <v>3133599</v>
      </c>
      <c r="M76" s="82">
        <f t="shared" si="44"/>
        <v>2292065</v>
      </c>
      <c r="N76" s="82">
        <f t="shared" si="44"/>
        <v>1517844</v>
      </c>
      <c r="O76" s="82">
        <f t="shared" si="44"/>
        <v>711866</v>
      </c>
      <c r="P76" s="82">
        <f t="shared" si="44"/>
        <v>738570</v>
      </c>
      <c r="Q76" s="82">
        <f t="shared" si="44"/>
        <v>0</v>
      </c>
      <c r="R76" s="82">
        <f t="shared" si="44"/>
        <v>738570</v>
      </c>
      <c r="S76" s="82">
        <f t="shared" si="44"/>
        <v>0</v>
      </c>
      <c r="T76" s="82">
        <f t="shared" si="44"/>
        <v>0</v>
      </c>
      <c r="U76" s="82">
        <f t="shared" si="44"/>
        <v>0</v>
      </c>
      <c r="V76" s="51"/>
    </row>
    <row r="77" spans="1:22" ht="74.25" customHeight="1" x14ac:dyDescent="0.2">
      <c r="A77" s="47">
        <v>1</v>
      </c>
      <c r="B77" s="52" t="s">
        <v>478</v>
      </c>
      <c r="C77" s="47">
        <v>1</v>
      </c>
      <c r="D77" s="49" t="s">
        <v>299</v>
      </c>
      <c r="E77" s="49"/>
      <c r="F77" s="49" t="s">
        <v>300</v>
      </c>
      <c r="G77" s="49"/>
      <c r="H77" s="49"/>
      <c r="I77" s="49" t="s">
        <v>90</v>
      </c>
      <c r="J77" s="49" t="s">
        <v>966</v>
      </c>
      <c r="K77" s="51">
        <v>3053099</v>
      </c>
      <c r="L77" s="51">
        <v>3053099</v>
      </c>
      <c r="M77" s="51">
        <v>2222565</v>
      </c>
      <c r="N77" s="99">
        <v>1491914</v>
      </c>
      <c r="O77" s="51">
        <v>700766</v>
      </c>
      <c r="P77" s="51">
        <f t="shared" si="42"/>
        <v>725000</v>
      </c>
      <c r="Q77" s="51"/>
      <c r="R77" s="51">
        <f>R79+R94+R173+R177</f>
        <v>725000</v>
      </c>
      <c r="S77" s="51"/>
      <c r="T77" s="51"/>
      <c r="U77" s="51"/>
      <c r="V77" s="51"/>
    </row>
    <row r="78" spans="1:22" x14ac:dyDescent="0.2">
      <c r="A78" s="78"/>
      <c r="B78" s="79" t="s">
        <v>479</v>
      </c>
      <c r="C78" s="78">
        <f t="shared" ref="C78" si="45">C79+C94+C173+C177</f>
        <v>83</v>
      </c>
      <c r="D78" s="80"/>
      <c r="E78" s="80"/>
      <c r="F78" s="80"/>
      <c r="G78" s="80"/>
      <c r="H78" s="80"/>
      <c r="I78" s="80"/>
      <c r="J78" s="80"/>
      <c r="K78" s="82">
        <f t="shared" ref="K78:Q78" si="46">K79+K94+K173+K177</f>
        <v>2438284.0530000003</v>
      </c>
      <c r="L78" s="82">
        <f t="shared" si="46"/>
        <v>1857357.423</v>
      </c>
      <c r="M78" s="82">
        <f t="shared" si="46"/>
        <v>1857357.423</v>
      </c>
      <c r="N78" s="82">
        <f t="shared" si="46"/>
        <v>891848</v>
      </c>
      <c r="O78" s="82">
        <f t="shared" si="46"/>
        <v>0</v>
      </c>
      <c r="P78" s="51">
        <f t="shared" si="42"/>
        <v>725000</v>
      </c>
      <c r="Q78" s="82">
        <f t="shared" si="46"/>
        <v>0</v>
      </c>
      <c r="R78" s="82">
        <f>R79+R94+R173+R177</f>
        <v>725000</v>
      </c>
      <c r="S78" s="82"/>
      <c r="T78" s="82"/>
      <c r="U78" s="82"/>
      <c r="V78" s="51"/>
    </row>
    <row r="79" spans="1:22" ht="47.25" x14ac:dyDescent="0.2">
      <c r="A79" s="135" t="s">
        <v>69</v>
      </c>
      <c r="B79" s="136" t="s">
        <v>307</v>
      </c>
      <c r="C79" s="166">
        <f>C80+C81</f>
        <v>8</v>
      </c>
      <c r="D79" s="137"/>
      <c r="E79" s="137"/>
      <c r="F79" s="137"/>
      <c r="G79" s="137"/>
      <c r="H79" s="137"/>
      <c r="I79" s="137"/>
      <c r="J79" s="137"/>
      <c r="K79" s="207">
        <f t="shared" ref="K79:R79" si="47">K80+K81</f>
        <v>84907.091</v>
      </c>
      <c r="L79" s="207">
        <f t="shared" si="47"/>
        <v>70580</v>
      </c>
      <c r="M79" s="207">
        <f t="shared" si="47"/>
        <v>70580</v>
      </c>
      <c r="N79" s="207">
        <f t="shared" si="47"/>
        <v>56798</v>
      </c>
      <c r="O79" s="207">
        <f t="shared" si="47"/>
        <v>0</v>
      </c>
      <c r="P79" s="51">
        <f t="shared" si="42"/>
        <v>12612</v>
      </c>
      <c r="Q79" s="207">
        <f t="shared" si="47"/>
        <v>0</v>
      </c>
      <c r="R79" s="207">
        <f t="shared" si="47"/>
        <v>12612</v>
      </c>
      <c r="S79" s="51"/>
      <c r="T79" s="51"/>
      <c r="U79" s="51"/>
      <c r="V79" s="51"/>
    </row>
    <row r="80" spans="1:22" x14ac:dyDescent="0.2">
      <c r="A80" s="138"/>
      <c r="B80" s="139"/>
      <c r="C80" s="166"/>
      <c r="D80" s="137"/>
      <c r="E80" s="137"/>
      <c r="F80" s="137"/>
      <c r="G80" s="137"/>
      <c r="H80" s="137"/>
      <c r="I80" s="137"/>
      <c r="J80" s="137"/>
      <c r="K80" s="207"/>
      <c r="L80" s="207"/>
      <c r="M80" s="207"/>
      <c r="N80" s="207"/>
      <c r="O80" s="207"/>
      <c r="P80" s="51">
        <f t="shared" si="42"/>
        <v>0</v>
      </c>
      <c r="Q80" s="207"/>
      <c r="R80" s="207"/>
      <c r="S80" s="51"/>
      <c r="T80" s="51"/>
      <c r="U80" s="51"/>
      <c r="V80" s="51"/>
    </row>
    <row r="81" spans="1:22" s="64" customFormat="1" x14ac:dyDescent="0.2">
      <c r="A81" s="138" t="s">
        <v>77</v>
      </c>
      <c r="B81" s="139" t="s">
        <v>78</v>
      </c>
      <c r="C81" s="167">
        <f>C82+C87+C90+C92</f>
        <v>8</v>
      </c>
      <c r="D81" s="137"/>
      <c r="E81" s="137"/>
      <c r="F81" s="137"/>
      <c r="G81" s="137"/>
      <c r="H81" s="137"/>
      <c r="I81" s="137"/>
      <c r="J81" s="137"/>
      <c r="K81" s="208">
        <f t="shared" ref="K81:R81" si="48">K82+K87+K90+K92</f>
        <v>84907.091</v>
      </c>
      <c r="L81" s="208">
        <f t="shared" si="48"/>
        <v>70580</v>
      </c>
      <c r="M81" s="208">
        <f t="shared" si="48"/>
        <v>70580</v>
      </c>
      <c r="N81" s="208">
        <f t="shared" si="48"/>
        <v>56798</v>
      </c>
      <c r="O81" s="208">
        <f t="shared" si="48"/>
        <v>0</v>
      </c>
      <c r="P81" s="51">
        <f t="shared" si="42"/>
        <v>12612</v>
      </c>
      <c r="Q81" s="208">
        <f t="shared" si="48"/>
        <v>0</v>
      </c>
      <c r="R81" s="208">
        <f t="shared" si="48"/>
        <v>12612</v>
      </c>
      <c r="S81" s="51"/>
      <c r="T81" s="51"/>
      <c r="U81" s="51"/>
      <c r="V81" s="77"/>
    </row>
    <row r="82" spans="1:22" s="83" customFormat="1" x14ac:dyDescent="0.2">
      <c r="A82" s="138"/>
      <c r="B82" s="139" t="s">
        <v>308</v>
      </c>
      <c r="C82" s="167">
        <f>SUM(C83:C86)</f>
        <v>4</v>
      </c>
      <c r="D82" s="137"/>
      <c r="E82" s="137"/>
      <c r="F82" s="137"/>
      <c r="G82" s="137"/>
      <c r="H82" s="137"/>
      <c r="I82" s="137"/>
      <c r="J82" s="137"/>
      <c r="K82" s="208">
        <f t="shared" ref="K82:R82" si="49">SUM(K83:K86)</f>
        <v>33722</v>
      </c>
      <c r="L82" s="208">
        <f t="shared" si="49"/>
        <v>29100</v>
      </c>
      <c r="M82" s="208">
        <f t="shared" si="49"/>
        <v>29100</v>
      </c>
      <c r="N82" s="208">
        <f t="shared" si="49"/>
        <v>24300</v>
      </c>
      <c r="O82" s="208">
        <f t="shared" si="49"/>
        <v>0</v>
      </c>
      <c r="P82" s="51">
        <f t="shared" si="42"/>
        <v>4800</v>
      </c>
      <c r="Q82" s="208">
        <f t="shared" si="49"/>
        <v>0</v>
      </c>
      <c r="R82" s="208">
        <f t="shared" si="49"/>
        <v>4800</v>
      </c>
      <c r="S82" s="51"/>
      <c r="T82" s="51"/>
      <c r="U82" s="51"/>
      <c r="V82" s="82"/>
    </row>
    <row r="83" spans="1:22" ht="78.75" customHeight="1" x14ac:dyDescent="0.2">
      <c r="A83" s="140">
        <v>1</v>
      </c>
      <c r="B83" s="141" t="s">
        <v>309</v>
      </c>
      <c r="C83" s="150">
        <v>1</v>
      </c>
      <c r="D83" s="137" t="s">
        <v>100</v>
      </c>
      <c r="E83" s="137" t="s">
        <v>140</v>
      </c>
      <c r="F83" s="137" t="s">
        <v>138</v>
      </c>
      <c r="G83" s="142">
        <v>7932677</v>
      </c>
      <c r="H83" s="137" t="s">
        <v>310</v>
      </c>
      <c r="I83" s="137" t="s">
        <v>80</v>
      </c>
      <c r="J83" s="137" t="s">
        <v>311</v>
      </c>
      <c r="K83" s="209">
        <v>7327</v>
      </c>
      <c r="L83" s="210">
        <v>5700</v>
      </c>
      <c r="M83" s="210">
        <v>5700</v>
      </c>
      <c r="N83" s="210">
        <v>3100</v>
      </c>
      <c r="O83" s="210"/>
      <c r="P83" s="51">
        <f t="shared" si="42"/>
        <v>2600</v>
      </c>
      <c r="Q83" s="210"/>
      <c r="R83" s="210">
        <v>2600</v>
      </c>
      <c r="S83" s="51"/>
      <c r="T83" s="51"/>
      <c r="U83" s="51"/>
      <c r="V83" s="51"/>
    </row>
    <row r="84" spans="1:22" s="83" customFormat="1" ht="47.25" x14ac:dyDescent="0.2">
      <c r="A84" s="140">
        <f>A83+1</f>
        <v>2</v>
      </c>
      <c r="B84" s="141" t="s">
        <v>312</v>
      </c>
      <c r="C84" s="150">
        <v>1</v>
      </c>
      <c r="D84" s="137" t="s">
        <v>100</v>
      </c>
      <c r="E84" s="137" t="s">
        <v>140</v>
      </c>
      <c r="F84" s="137" t="s">
        <v>138</v>
      </c>
      <c r="G84" s="142">
        <v>7932683</v>
      </c>
      <c r="H84" s="137" t="s">
        <v>147</v>
      </c>
      <c r="I84" s="137" t="s">
        <v>80</v>
      </c>
      <c r="J84" s="137" t="s">
        <v>149</v>
      </c>
      <c r="K84" s="209">
        <v>6101</v>
      </c>
      <c r="L84" s="210">
        <v>5000</v>
      </c>
      <c r="M84" s="210">
        <v>5000</v>
      </c>
      <c r="N84" s="210">
        <v>4000</v>
      </c>
      <c r="O84" s="210"/>
      <c r="P84" s="51">
        <f t="shared" si="42"/>
        <v>1000</v>
      </c>
      <c r="Q84" s="210"/>
      <c r="R84" s="210">
        <v>1000</v>
      </c>
      <c r="S84" s="51"/>
      <c r="T84" s="51"/>
      <c r="U84" s="51"/>
      <c r="V84" s="82"/>
    </row>
    <row r="85" spans="1:22" ht="78.75" customHeight="1" x14ac:dyDescent="0.2">
      <c r="A85" s="140">
        <f>A84+1</f>
        <v>3</v>
      </c>
      <c r="B85" s="141" t="s">
        <v>313</v>
      </c>
      <c r="C85" s="150">
        <v>1</v>
      </c>
      <c r="D85" s="137" t="s">
        <v>100</v>
      </c>
      <c r="E85" s="137" t="s">
        <v>140</v>
      </c>
      <c r="F85" s="137" t="s">
        <v>138</v>
      </c>
      <c r="G85" s="142">
        <v>7932677</v>
      </c>
      <c r="H85" s="137" t="s">
        <v>148</v>
      </c>
      <c r="I85" s="137" t="s">
        <v>80</v>
      </c>
      <c r="J85" s="137" t="s">
        <v>150</v>
      </c>
      <c r="K85" s="209">
        <v>7227</v>
      </c>
      <c r="L85" s="210">
        <v>6000</v>
      </c>
      <c r="M85" s="210">
        <v>6000</v>
      </c>
      <c r="N85" s="210">
        <v>5400</v>
      </c>
      <c r="O85" s="210"/>
      <c r="P85" s="51">
        <f t="shared" si="42"/>
        <v>600</v>
      </c>
      <c r="Q85" s="210"/>
      <c r="R85" s="210">
        <v>600</v>
      </c>
      <c r="S85" s="51"/>
      <c r="T85" s="51"/>
      <c r="U85" s="51"/>
      <c r="V85" s="51"/>
    </row>
    <row r="86" spans="1:22" ht="172.5" customHeight="1" x14ac:dyDescent="0.2">
      <c r="A86" s="140">
        <f>A85+1</f>
        <v>4</v>
      </c>
      <c r="B86" s="143" t="s">
        <v>139</v>
      </c>
      <c r="C86" s="168">
        <v>1</v>
      </c>
      <c r="D86" s="137" t="s">
        <v>100</v>
      </c>
      <c r="E86" s="137" t="s">
        <v>140</v>
      </c>
      <c r="F86" s="137" t="s">
        <v>138</v>
      </c>
      <c r="G86" s="142">
        <v>7875894</v>
      </c>
      <c r="H86" s="137" t="s">
        <v>141</v>
      </c>
      <c r="I86" s="137" t="s">
        <v>967</v>
      </c>
      <c r="J86" s="137" t="s">
        <v>255</v>
      </c>
      <c r="K86" s="211">
        <v>13067</v>
      </c>
      <c r="L86" s="210">
        <v>12400</v>
      </c>
      <c r="M86" s="210">
        <v>12400</v>
      </c>
      <c r="N86" s="210">
        <v>11800</v>
      </c>
      <c r="O86" s="210"/>
      <c r="P86" s="51">
        <f t="shared" si="42"/>
        <v>600</v>
      </c>
      <c r="Q86" s="210"/>
      <c r="R86" s="210">
        <v>600</v>
      </c>
      <c r="S86" s="51"/>
      <c r="T86" s="51"/>
      <c r="U86" s="51"/>
      <c r="V86" s="51"/>
    </row>
    <row r="87" spans="1:22" x14ac:dyDescent="0.2">
      <c r="A87" s="138"/>
      <c r="B87" s="139" t="s">
        <v>314</v>
      </c>
      <c r="C87" s="167">
        <f>SUM(C88:C89)</f>
        <v>2</v>
      </c>
      <c r="D87" s="144"/>
      <c r="E87" s="144"/>
      <c r="F87" s="144"/>
      <c r="G87" s="144"/>
      <c r="H87" s="144"/>
      <c r="I87" s="144"/>
      <c r="J87" s="144"/>
      <c r="K87" s="208">
        <f>SUM(K88:K89)</f>
        <v>17752</v>
      </c>
      <c r="L87" s="208">
        <f t="shared" ref="L87:R87" si="50">SUM(L88:L89)</f>
        <v>13400</v>
      </c>
      <c r="M87" s="208">
        <f t="shared" si="50"/>
        <v>13400</v>
      </c>
      <c r="N87" s="208">
        <f t="shared" si="50"/>
        <v>11303</v>
      </c>
      <c r="O87" s="208"/>
      <c r="P87" s="51">
        <f t="shared" si="42"/>
        <v>1574</v>
      </c>
      <c r="Q87" s="208">
        <f t="shared" si="50"/>
        <v>0</v>
      </c>
      <c r="R87" s="208">
        <f t="shared" si="50"/>
        <v>1574</v>
      </c>
      <c r="S87" s="51"/>
      <c r="T87" s="51"/>
      <c r="U87" s="51"/>
      <c r="V87" s="51"/>
    </row>
    <row r="88" spans="1:22" ht="47.25" x14ac:dyDescent="0.2">
      <c r="A88" s="140">
        <v>1</v>
      </c>
      <c r="B88" s="141" t="s">
        <v>315</v>
      </c>
      <c r="C88" s="150">
        <v>1</v>
      </c>
      <c r="D88" s="145" t="s">
        <v>91</v>
      </c>
      <c r="E88" s="145" t="s">
        <v>206</v>
      </c>
      <c r="F88" s="137" t="s">
        <v>151</v>
      </c>
      <c r="G88" s="145">
        <v>7922687</v>
      </c>
      <c r="H88" s="145" t="s">
        <v>207</v>
      </c>
      <c r="I88" s="146" t="s">
        <v>967</v>
      </c>
      <c r="J88" s="147" t="s">
        <v>212</v>
      </c>
      <c r="K88" s="212">
        <v>7436</v>
      </c>
      <c r="L88" s="210">
        <v>5300</v>
      </c>
      <c r="M88" s="210">
        <v>5300</v>
      </c>
      <c r="N88" s="210">
        <v>5000</v>
      </c>
      <c r="O88" s="210"/>
      <c r="P88" s="51">
        <f t="shared" si="42"/>
        <v>300</v>
      </c>
      <c r="Q88" s="210"/>
      <c r="R88" s="213">
        <v>300</v>
      </c>
      <c r="S88" s="51"/>
      <c r="T88" s="51"/>
      <c r="U88" s="51"/>
      <c r="V88" s="51"/>
    </row>
    <row r="89" spans="1:22" ht="47.25" x14ac:dyDescent="0.2">
      <c r="A89" s="140">
        <f>A88+1</f>
        <v>2</v>
      </c>
      <c r="B89" s="141" t="s">
        <v>316</v>
      </c>
      <c r="C89" s="150">
        <v>1</v>
      </c>
      <c r="D89" s="145" t="s">
        <v>91</v>
      </c>
      <c r="E89" s="145" t="s">
        <v>206</v>
      </c>
      <c r="F89" s="137" t="s">
        <v>151</v>
      </c>
      <c r="G89" s="145">
        <v>7914348</v>
      </c>
      <c r="H89" s="145" t="s">
        <v>208</v>
      </c>
      <c r="I89" s="146" t="s">
        <v>967</v>
      </c>
      <c r="J89" s="147" t="s">
        <v>213</v>
      </c>
      <c r="K89" s="212">
        <v>10316</v>
      </c>
      <c r="L89" s="210">
        <v>8100</v>
      </c>
      <c r="M89" s="210">
        <v>8100</v>
      </c>
      <c r="N89" s="210">
        <v>6303</v>
      </c>
      <c r="O89" s="210"/>
      <c r="P89" s="51">
        <f t="shared" si="42"/>
        <v>1274</v>
      </c>
      <c r="Q89" s="210"/>
      <c r="R89" s="213">
        <v>1274</v>
      </c>
      <c r="S89" s="51"/>
      <c r="T89" s="51"/>
      <c r="U89" s="51"/>
      <c r="V89" s="51"/>
    </row>
    <row r="90" spans="1:22" x14ac:dyDescent="0.2">
      <c r="A90" s="140"/>
      <c r="B90" s="139" t="s">
        <v>317</v>
      </c>
      <c r="C90" s="169">
        <f>C91</f>
        <v>1</v>
      </c>
      <c r="D90" s="145"/>
      <c r="E90" s="145"/>
      <c r="F90" s="137"/>
      <c r="G90" s="145"/>
      <c r="H90" s="145"/>
      <c r="I90" s="146"/>
      <c r="J90" s="147"/>
      <c r="K90" s="214">
        <f>K91</f>
        <v>11839</v>
      </c>
      <c r="L90" s="214">
        <f t="shared" ref="L90:R90" si="51">L91</f>
        <v>11500</v>
      </c>
      <c r="M90" s="214">
        <f t="shared" si="51"/>
        <v>11500</v>
      </c>
      <c r="N90" s="214">
        <f t="shared" si="51"/>
        <v>9000</v>
      </c>
      <c r="O90" s="214"/>
      <c r="P90" s="51">
        <f t="shared" si="42"/>
        <v>1853</v>
      </c>
      <c r="Q90" s="214">
        <f t="shared" si="51"/>
        <v>0</v>
      </c>
      <c r="R90" s="214">
        <f t="shared" si="51"/>
        <v>1853</v>
      </c>
      <c r="S90" s="51"/>
      <c r="T90" s="51"/>
      <c r="U90" s="51"/>
      <c r="V90" s="51"/>
    </row>
    <row r="91" spans="1:22" ht="47.25" x14ac:dyDescent="0.2">
      <c r="A91" s="140">
        <v>1</v>
      </c>
      <c r="B91" s="141" t="s">
        <v>318</v>
      </c>
      <c r="C91" s="150">
        <v>1</v>
      </c>
      <c r="D91" s="145" t="s">
        <v>94</v>
      </c>
      <c r="E91" s="145" t="s">
        <v>116</v>
      </c>
      <c r="F91" s="137" t="s">
        <v>115</v>
      </c>
      <c r="G91" s="145">
        <v>7927472</v>
      </c>
      <c r="H91" s="145" t="s">
        <v>117</v>
      </c>
      <c r="I91" s="148" t="s">
        <v>80</v>
      </c>
      <c r="J91" s="148" t="s">
        <v>259</v>
      </c>
      <c r="K91" s="215">
        <v>11839</v>
      </c>
      <c r="L91" s="210">
        <v>11500</v>
      </c>
      <c r="M91" s="210">
        <v>11500</v>
      </c>
      <c r="N91" s="210">
        <v>9000</v>
      </c>
      <c r="O91" s="210"/>
      <c r="P91" s="51">
        <f t="shared" si="42"/>
        <v>1853</v>
      </c>
      <c r="Q91" s="210"/>
      <c r="R91" s="213">
        <v>1853</v>
      </c>
      <c r="S91" s="51"/>
      <c r="T91" s="51"/>
      <c r="U91" s="51"/>
      <c r="V91" s="51"/>
    </row>
    <row r="92" spans="1:22" ht="26.25" customHeight="1" x14ac:dyDescent="0.2">
      <c r="A92" s="140"/>
      <c r="B92" s="139" t="s">
        <v>319</v>
      </c>
      <c r="C92" s="169">
        <f>C93</f>
        <v>1</v>
      </c>
      <c r="D92" s="145"/>
      <c r="E92" s="145"/>
      <c r="F92" s="137"/>
      <c r="G92" s="145"/>
      <c r="H92" s="145"/>
      <c r="I92" s="146"/>
      <c r="J92" s="147"/>
      <c r="K92" s="214">
        <f>K93</f>
        <v>21594.091</v>
      </c>
      <c r="L92" s="214">
        <f t="shared" ref="L92:R92" si="52">L93</f>
        <v>16580</v>
      </c>
      <c r="M92" s="214">
        <f t="shared" si="52"/>
        <v>16580</v>
      </c>
      <c r="N92" s="214">
        <f t="shared" si="52"/>
        <v>12195</v>
      </c>
      <c r="O92" s="214"/>
      <c r="P92" s="51">
        <f t="shared" si="42"/>
        <v>4385</v>
      </c>
      <c r="Q92" s="214">
        <f t="shared" si="52"/>
        <v>0</v>
      </c>
      <c r="R92" s="214">
        <f t="shared" si="52"/>
        <v>4385</v>
      </c>
      <c r="S92" s="51"/>
      <c r="T92" s="51"/>
      <c r="U92" s="51"/>
      <c r="V92" s="51"/>
    </row>
    <row r="93" spans="1:22" ht="47.25" x14ac:dyDescent="0.2">
      <c r="A93" s="140">
        <v>1</v>
      </c>
      <c r="B93" s="149" t="s">
        <v>320</v>
      </c>
      <c r="C93" s="150">
        <v>1</v>
      </c>
      <c r="D93" s="145" t="s">
        <v>89</v>
      </c>
      <c r="E93" s="145" t="s">
        <v>154</v>
      </c>
      <c r="F93" s="137" t="s">
        <v>152</v>
      </c>
      <c r="G93" s="145">
        <v>7892350</v>
      </c>
      <c r="H93" s="145" t="s">
        <v>321</v>
      </c>
      <c r="I93" s="146" t="s">
        <v>80</v>
      </c>
      <c r="J93" s="150" t="s">
        <v>153</v>
      </c>
      <c r="K93" s="210">
        <v>21594.091</v>
      </c>
      <c r="L93" s="210">
        <v>16580</v>
      </c>
      <c r="M93" s="210">
        <v>16580</v>
      </c>
      <c r="N93" s="210">
        <v>12195</v>
      </c>
      <c r="O93" s="210"/>
      <c r="P93" s="51">
        <f t="shared" si="42"/>
        <v>4385</v>
      </c>
      <c r="Q93" s="210"/>
      <c r="R93" s="213">
        <v>4385</v>
      </c>
      <c r="S93" s="51"/>
      <c r="T93" s="51"/>
      <c r="U93" s="51"/>
      <c r="V93" s="51"/>
    </row>
    <row r="94" spans="1:22" ht="31.5" x14ac:dyDescent="0.2">
      <c r="A94" s="135" t="s">
        <v>81</v>
      </c>
      <c r="B94" s="151" t="s">
        <v>291</v>
      </c>
      <c r="C94" s="166">
        <f>C95+C101</f>
        <v>61</v>
      </c>
      <c r="D94" s="152"/>
      <c r="E94" s="152"/>
      <c r="F94" s="152"/>
      <c r="G94" s="152"/>
      <c r="H94" s="152"/>
      <c r="I94" s="152"/>
      <c r="J94" s="152"/>
      <c r="K94" s="207">
        <f>K95+K101</f>
        <v>1857758.9620000001</v>
      </c>
      <c r="L94" s="207">
        <f t="shared" ref="L94:R94" si="53">L95+L101</f>
        <v>1456277.423</v>
      </c>
      <c r="M94" s="207">
        <f t="shared" si="53"/>
        <v>1456277.423</v>
      </c>
      <c r="N94" s="207">
        <f t="shared" si="53"/>
        <v>814550</v>
      </c>
      <c r="O94" s="207"/>
      <c r="P94" s="51">
        <f t="shared" si="42"/>
        <v>562417</v>
      </c>
      <c r="Q94" s="207">
        <f t="shared" ref="Q94" si="54">Q95+Q101</f>
        <v>0</v>
      </c>
      <c r="R94" s="207">
        <f t="shared" si="53"/>
        <v>562417</v>
      </c>
      <c r="S94" s="51"/>
      <c r="T94" s="51"/>
      <c r="U94" s="51"/>
      <c r="V94" s="51"/>
    </row>
    <row r="95" spans="1:22" x14ac:dyDescent="0.2">
      <c r="A95" s="138" t="s">
        <v>102</v>
      </c>
      <c r="B95" s="139" t="s">
        <v>70</v>
      </c>
      <c r="C95" s="167">
        <f>C96+C98</f>
        <v>3</v>
      </c>
      <c r="D95" s="144"/>
      <c r="E95" s="144"/>
      <c r="F95" s="144"/>
      <c r="G95" s="144"/>
      <c r="H95" s="144"/>
      <c r="I95" s="144"/>
      <c r="J95" s="144"/>
      <c r="K95" s="208">
        <f>K96+K98</f>
        <v>217531</v>
      </c>
      <c r="L95" s="208">
        <f t="shared" ref="L95:R95" si="55">L96+L98</f>
        <v>175400</v>
      </c>
      <c r="M95" s="208">
        <f t="shared" si="55"/>
        <v>175400</v>
      </c>
      <c r="N95" s="208">
        <f t="shared" si="55"/>
        <v>50400</v>
      </c>
      <c r="O95" s="208"/>
      <c r="P95" s="51">
        <f t="shared" si="42"/>
        <v>125000</v>
      </c>
      <c r="Q95" s="208">
        <f t="shared" ref="Q95" si="56">Q96+Q98</f>
        <v>0</v>
      </c>
      <c r="R95" s="208">
        <f t="shared" si="55"/>
        <v>125000</v>
      </c>
      <c r="S95" s="51"/>
      <c r="T95" s="51"/>
      <c r="U95" s="51"/>
      <c r="V95" s="51"/>
    </row>
    <row r="96" spans="1:22" ht="31.5" x14ac:dyDescent="0.2">
      <c r="A96" s="138"/>
      <c r="B96" s="153" t="s">
        <v>322</v>
      </c>
      <c r="C96" s="167">
        <f>C97</f>
        <v>1</v>
      </c>
      <c r="D96" s="144"/>
      <c r="E96" s="144"/>
      <c r="F96" s="144"/>
      <c r="G96" s="144"/>
      <c r="H96" s="144"/>
      <c r="I96" s="144"/>
      <c r="J96" s="144"/>
      <c r="K96" s="208">
        <f>K97</f>
        <v>77334</v>
      </c>
      <c r="L96" s="208">
        <f t="shared" ref="L96:R96" si="57">L97</f>
        <v>62800</v>
      </c>
      <c r="M96" s="208">
        <f t="shared" si="57"/>
        <v>62800</v>
      </c>
      <c r="N96" s="208">
        <f t="shared" si="57"/>
        <v>31000</v>
      </c>
      <c r="O96" s="208"/>
      <c r="P96" s="51">
        <f t="shared" si="42"/>
        <v>31800</v>
      </c>
      <c r="Q96" s="208">
        <f t="shared" si="57"/>
        <v>0</v>
      </c>
      <c r="R96" s="208">
        <f t="shared" si="57"/>
        <v>31800</v>
      </c>
      <c r="S96" s="51"/>
      <c r="T96" s="51"/>
      <c r="U96" s="51"/>
      <c r="V96" s="51"/>
    </row>
    <row r="97" spans="1:22" ht="47.25" x14ac:dyDescent="0.2">
      <c r="A97" s="141">
        <v>1</v>
      </c>
      <c r="B97" s="141" t="s">
        <v>323</v>
      </c>
      <c r="C97" s="167">
        <v>1</v>
      </c>
      <c r="D97" s="145" t="s">
        <v>91</v>
      </c>
      <c r="E97" s="145" t="s">
        <v>72</v>
      </c>
      <c r="F97" s="137" t="s">
        <v>92</v>
      </c>
      <c r="G97" s="145">
        <v>7936025</v>
      </c>
      <c r="H97" s="145"/>
      <c r="I97" s="145" t="s">
        <v>75</v>
      </c>
      <c r="J97" s="145" t="s">
        <v>260</v>
      </c>
      <c r="K97" s="211">
        <v>77334</v>
      </c>
      <c r="L97" s="210">
        <v>62800</v>
      </c>
      <c r="M97" s="210">
        <v>62800</v>
      </c>
      <c r="N97" s="210">
        <v>31000</v>
      </c>
      <c r="O97" s="210"/>
      <c r="P97" s="51">
        <f t="shared" si="42"/>
        <v>31800</v>
      </c>
      <c r="Q97" s="210"/>
      <c r="R97" s="216">
        <f>23800+8000</f>
        <v>31800</v>
      </c>
      <c r="S97" s="51"/>
      <c r="T97" s="51"/>
      <c r="U97" s="51"/>
      <c r="V97" s="51"/>
    </row>
    <row r="98" spans="1:22" x14ac:dyDescent="0.2">
      <c r="A98" s="138"/>
      <c r="B98" s="139" t="s">
        <v>185</v>
      </c>
      <c r="C98" s="167">
        <f>SUM(C99:C100)</f>
        <v>2</v>
      </c>
      <c r="D98" s="144"/>
      <c r="E98" s="144"/>
      <c r="F98" s="144"/>
      <c r="G98" s="144"/>
      <c r="H98" s="144"/>
      <c r="I98" s="144"/>
      <c r="J98" s="144"/>
      <c r="K98" s="208">
        <f>SUM(K99:K100)</f>
        <v>140197</v>
      </c>
      <c r="L98" s="208">
        <f t="shared" ref="L98:R98" si="58">SUM(L99:L100)</f>
        <v>112600</v>
      </c>
      <c r="M98" s="208">
        <f t="shared" si="58"/>
        <v>112600</v>
      </c>
      <c r="N98" s="208">
        <f t="shared" si="58"/>
        <v>19400</v>
      </c>
      <c r="O98" s="208"/>
      <c r="P98" s="51">
        <f t="shared" si="42"/>
        <v>93200</v>
      </c>
      <c r="Q98" s="208">
        <f t="shared" si="58"/>
        <v>0</v>
      </c>
      <c r="R98" s="208">
        <f t="shared" si="58"/>
        <v>93200</v>
      </c>
      <c r="S98" s="51"/>
      <c r="T98" s="51"/>
      <c r="U98" s="51"/>
      <c r="V98" s="51"/>
    </row>
    <row r="99" spans="1:22" ht="54" customHeight="1" x14ac:dyDescent="0.2">
      <c r="A99" s="141">
        <v>1</v>
      </c>
      <c r="B99" s="149" t="s">
        <v>324</v>
      </c>
      <c r="C99" s="167">
        <v>1</v>
      </c>
      <c r="D99" s="137" t="s">
        <v>93</v>
      </c>
      <c r="E99" s="137" t="s">
        <v>186</v>
      </c>
      <c r="F99" s="137" t="s">
        <v>184</v>
      </c>
      <c r="G99" s="137" t="s">
        <v>325</v>
      </c>
      <c r="H99" s="137" t="s">
        <v>187</v>
      </c>
      <c r="I99" s="137" t="s">
        <v>80</v>
      </c>
      <c r="J99" s="137" t="s">
        <v>189</v>
      </c>
      <c r="K99" s="211">
        <v>57178</v>
      </c>
      <c r="L99" s="210">
        <v>48000</v>
      </c>
      <c r="M99" s="210">
        <v>48000</v>
      </c>
      <c r="N99" s="210">
        <v>7900</v>
      </c>
      <c r="O99" s="210"/>
      <c r="P99" s="51">
        <f t="shared" si="42"/>
        <v>40100</v>
      </c>
      <c r="Q99" s="210"/>
      <c r="R99" s="216">
        <f>30100+10000</f>
        <v>40100</v>
      </c>
      <c r="S99" s="51"/>
      <c r="T99" s="51"/>
      <c r="U99" s="51"/>
      <c r="V99" s="51"/>
    </row>
    <row r="100" spans="1:22" ht="47.25" x14ac:dyDescent="0.2">
      <c r="A100" s="141">
        <v>2</v>
      </c>
      <c r="B100" s="149" t="s">
        <v>326</v>
      </c>
      <c r="C100" s="167">
        <v>1</v>
      </c>
      <c r="D100" s="137" t="s">
        <v>93</v>
      </c>
      <c r="E100" s="137" t="s">
        <v>186</v>
      </c>
      <c r="F100" s="137" t="s">
        <v>184</v>
      </c>
      <c r="G100" s="137">
        <v>7935432</v>
      </c>
      <c r="H100" s="137" t="s">
        <v>187</v>
      </c>
      <c r="I100" s="137" t="s">
        <v>80</v>
      </c>
      <c r="J100" s="137" t="s">
        <v>188</v>
      </c>
      <c r="K100" s="211">
        <v>83019</v>
      </c>
      <c r="L100" s="210">
        <v>64600</v>
      </c>
      <c r="M100" s="210">
        <v>64600</v>
      </c>
      <c r="N100" s="210">
        <v>11500</v>
      </c>
      <c r="O100" s="210"/>
      <c r="P100" s="51">
        <f t="shared" si="42"/>
        <v>53100</v>
      </c>
      <c r="Q100" s="210"/>
      <c r="R100" s="210">
        <f>43100+10000</f>
        <v>53100</v>
      </c>
      <c r="S100" s="51"/>
      <c r="T100" s="51"/>
      <c r="U100" s="51"/>
      <c r="V100" s="51"/>
    </row>
    <row r="101" spans="1:22" x14ac:dyDescent="0.2">
      <c r="A101" s="138" t="s">
        <v>181</v>
      </c>
      <c r="B101" s="139" t="s">
        <v>78</v>
      </c>
      <c r="C101" s="167">
        <f t="shared" ref="C101" si="59">C102+C106+C112+C116+C118+C121+C130+C134+C144+C153+C155+C160+C169</f>
        <v>58</v>
      </c>
      <c r="D101" s="144"/>
      <c r="E101" s="144"/>
      <c r="F101" s="144"/>
      <c r="G101" s="144"/>
      <c r="H101" s="144"/>
      <c r="I101" s="144"/>
      <c r="J101" s="144"/>
      <c r="K101" s="208">
        <f t="shared" ref="K101:R101" si="60">K102+K106+K112+K116+K118+K121+K130+K134+K144+K153+K155+K160+K169</f>
        <v>1640227.9620000001</v>
      </c>
      <c r="L101" s="208">
        <f t="shared" si="60"/>
        <v>1280877.423</v>
      </c>
      <c r="M101" s="208">
        <f t="shared" si="60"/>
        <v>1280877.423</v>
      </c>
      <c r="N101" s="208">
        <f t="shared" si="60"/>
        <v>764150</v>
      </c>
      <c r="O101" s="208"/>
      <c r="P101" s="51">
        <f t="shared" si="42"/>
        <v>437417</v>
      </c>
      <c r="Q101" s="208">
        <f t="shared" ref="Q101" si="61">Q102+Q106+Q112+Q116+Q118+Q121+Q130+Q134+Q144+Q153+Q155+Q160+Q169</f>
        <v>0</v>
      </c>
      <c r="R101" s="208">
        <f t="shared" si="60"/>
        <v>437417</v>
      </c>
      <c r="S101" s="51"/>
      <c r="T101" s="51"/>
      <c r="U101" s="51"/>
      <c r="V101" s="51"/>
    </row>
    <row r="102" spans="1:22" x14ac:dyDescent="0.2">
      <c r="A102" s="144"/>
      <c r="B102" s="153" t="s">
        <v>327</v>
      </c>
      <c r="C102" s="167">
        <f>SUM(C103:C105)</f>
        <v>3</v>
      </c>
      <c r="D102" s="144"/>
      <c r="E102" s="144"/>
      <c r="F102" s="144"/>
      <c r="G102" s="144"/>
      <c r="H102" s="144"/>
      <c r="I102" s="144"/>
      <c r="J102" s="144"/>
      <c r="K102" s="208">
        <f>SUM(K103:K105)</f>
        <v>62387</v>
      </c>
      <c r="L102" s="208">
        <f t="shared" ref="L102:R102" si="62">SUM(L103:L105)</f>
        <v>54480</v>
      </c>
      <c r="M102" s="208">
        <f t="shared" si="62"/>
        <v>54480</v>
      </c>
      <c r="N102" s="208">
        <f t="shared" si="62"/>
        <v>41500</v>
      </c>
      <c r="O102" s="208"/>
      <c r="P102" s="51">
        <f t="shared" si="42"/>
        <v>12980</v>
      </c>
      <c r="Q102" s="208">
        <f t="shared" ref="Q102" si="63">SUM(Q103:Q105)</f>
        <v>0</v>
      </c>
      <c r="R102" s="208">
        <f t="shared" si="62"/>
        <v>12980</v>
      </c>
      <c r="S102" s="51"/>
      <c r="T102" s="51"/>
      <c r="U102" s="51"/>
      <c r="V102" s="51"/>
    </row>
    <row r="103" spans="1:22" ht="47.25" x14ac:dyDescent="0.2">
      <c r="A103" s="141">
        <v>1</v>
      </c>
      <c r="B103" s="141" t="s">
        <v>328</v>
      </c>
      <c r="C103" s="167">
        <v>1</v>
      </c>
      <c r="D103" s="145" t="s">
        <v>94</v>
      </c>
      <c r="E103" s="145" t="s">
        <v>72</v>
      </c>
      <c r="F103" s="137" t="s">
        <v>95</v>
      </c>
      <c r="G103" s="145">
        <v>7926672</v>
      </c>
      <c r="H103" s="145"/>
      <c r="I103" s="145" t="s">
        <v>75</v>
      </c>
      <c r="J103" s="137" t="s">
        <v>97</v>
      </c>
      <c r="K103" s="211">
        <v>18225</v>
      </c>
      <c r="L103" s="210">
        <v>15950</v>
      </c>
      <c r="M103" s="210">
        <v>15950</v>
      </c>
      <c r="N103" s="210">
        <v>12100</v>
      </c>
      <c r="O103" s="210"/>
      <c r="P103" s="51">
        <f t="shared" si="42"/>
        <v>3850</v>
      </c>
      <c r="Q103" s="210"/>
      <c r="R103" s="217">
        <v>3850</v>
      </c>
      <c r="S103" s="51"/>
      <c r="T103" s="51"/>
      <c r="U103" s="51"/>
      <c r="V103" s="51"/>
    </row>
    <row r="104" spans="1:22" ht="47.25" x14ac:dyDescent="0.2">
      <c r="A104" s="141">
        <v>2</v>
      </c>
      <c r="B104" s="141" t="s">
        <v>329</v>
      </c>
      <c r="C104" s="167">
        <v>1</v>
      </c>
      <c r="D104" s="145" t="s">
        <v>96</v>
      </c>
      <c r="E104" s="145" t="s">
        <v>72</v>
      </c>
      <c r="F104" s="137" t="s">
        <v>95</v>
      </c>
      <c r="G104" s="145">
        <v>7926670</v>
      </c>
      <c r="H104" s="145"/>
      <c r="I104" s="145" t="s">
        <v>75</v>
      </c>
      <c r="J104" s="137" t="s">
        <v>98</v>
      </c>
      <c r="K104" s="211">
        <v>23634</v>
      </c>
      <c r="L104" s="210">
        <v>17830</v>
      </c>
      <c r="M104" s="210">
        <v>17830</v>
      </c>
      <c r="N104" s="210">
        <v>15400</v>
      </c>
      <c r="O104" s="210"/>
      <c r="P104" s="51">
        <f t="shared" si="42"/>
        <v>2430</v>
      </c>
      <c r="Q104" s="210"/>
      <c r="R104" s="217">
        <v>2430</v>
      </c>
      <c r="S104" s="51"/>
      <c r="T104" s="51"/>
      <c r="U104" s="51"/>
      <c r="V104" s="51"/>
    </row>
    <row r="105" spans="1:22" ht="47.25" x14ac:dyDescent="0.2">
      <c r="A105" s="141">
        <v>3</v>
      </c>
      <c r="B105" s="141" t="s">
        <v>330</v>
      </c>
      <c r="C105" s="167">
        <v>1</v>
      </c>
      <c r="D105" s="145" t="s">
        <v>89</v>
      </c>
      <c r="E105" s="145" t="s">
        <v>72</v>
      </c>
      <c r="F105" s="137" t="s">
        <v>95</v>
      </c>
      <c r="G105" s="145">
        <v>7926671</v>
      </c>
      <c r="H105" s="145"/>
      <c r="I105" s="145" t="s">
        <v>75</v>
      </c>
      <c r="J105" s="137" t="s">
        <v>99</v>
      </c>
      <c r="K105" s="211">
        <v>20528</v>
      </c>
      <c r="L105" s="210">
        <v>20700</v>
      </c>
      <c r="M105" s="210">
        <v>20700</v>
      </c>
      <c r="N105" s="210">
        <v>14000</v>
      </c>
      <c r="O105" s="210"/>
      <c r="P105" s="51">
        <f t="shared" si="42"/>
        <v>6700</v>
      </c>
      <c r="Q105" s="210"/>
      <c r="R105" s="217">
        <v>6700</v>
      </c>
      <c r="S105" s="51"/>
      <c r="T105" s="51"/>
      <c r="U105" s="51"/>
      <c r="V105" s="51"/>
    </row>
    <row r="106" spans="1:22" x14ac:dyDescent="0.2">
      <c r="A106" s="138"/>
      <c r="B106" s="139" t="s">
        <v>308</v>
      </c>
      <c r="C106" s="167">
        <f>SUM(C107:C111)</f>
        <v>5</v>
      </c>
      <c r="D106" s="144"/>
      <c r="E106" s="144"/>
      <c r="F106" s="144"/>
      <c r="G106" s="144"/>
      <c r="H106" s="144"/>
      <c r="I106" s="144"/>
      <c r="J106" s="144"/>
      <c r="K106" s="208">
        <f>SUM(K107:K111)</f>
        <v>144691</v>
      </c>
      <c r="L106" s="208">
        <f t="shared" ref="L106:R106" si="64">SUM(L107:L111)</f>
        <v>107852</v>
      </c>
      <c r="M106" s="208">
        <f t="shared" si="64"/>
        <v>107852</v>
      </c>
      <c r="N106" s="208">
        <f t="shared" si="64"/>
        <v>80932</v>
      </c>
      <c r="O106" s="208"/>
      <c r="P106" s="51">
        <f t="shared" si="42"/>
        <v>13200</v>
      </c>
      <c r="Q106" s="208">
        <f t="shared" si="64"/>
        <v>0</v>
      </c>
      <c r="R106" s="208">
        <f t="shared" si="64"/>
        <v>13200</v>
      </c>
      <c r="S106" s="51"/>
      <c r="T106" s="51"/>
      <c r="U106" s="51"/>
      <c r="V106" s="51"/>
    </row>
    <row r="107" spans="1:22" ht="117.75" customHeight="1" x14ac:dyDescent="0.2">
      <c r="A107" s="140">
        <f>A106+1</f>
        <v>1</v>
      </c>
      <c r="B107" s="141" t="s">
        <v>331</v>
      </c>
      <c r="C107" s="168">
        <v>1</v>
      </c>
      <c r="D107" s="137" t="s">
        <v>100</v>
      </c>
      <c r="E107" s="137" t="s">
        <v>140</v>
      </c>
      <c r="F107" s="137" t="s">
        <v>138</v>
      </c>
      <c r="G107" s="137">
        <v>7875891</v>
      </c>
      <c r="H107" s="137" t="s">
        <v>144</v>
      </c>
      <c r="I107" s="137" t="s">
        <v>967</v>
      </c>
      <c r="J107" s="137" t="s">
        <v>251</v>
      </c>
      <c r="K107" s="211">
        <v>19125</v>
      </c>
      <c r="L107" s="210">
        <v>14000</v>
      </c>
      <c r="M107" s="210">
        <v>14000</v>
      </c>
      <c r="N107" s="210">
        <v>13500</v>
      </c>
      <c r="O107" s="210"/>
      <c r="P107" s="51">
        <f t="shared" si="42"/>
        <v>500</v>
      </c>
      <c r="Q107" s="210"/>
      <c r="R107" s="213">
        <v>500</v>
      </c>
      <c r="S107" s="51"/>
      <c r="T107" s="51"/>
      <c r="U107" s="51"/>
      <c r="V107" s="51"/>
    </row>
    <row r="108" spans="1:22" ht="78.75" x14ac:dyDescent="0.2">
      <c r="A108" s="140">
        <f>A107+1</f>
        <v>2</v>
      </c>
      <c r="B108" s="141" t="s">
        <v>332</v>
      </c>
      <c r="C108" s="168">
        <v>1</v>
      </c>
      <c r="D108" s="137" t="s">
        <v>100</v>
      </c>
      <c r="E108" s="137" t="s">
        <v>140</v>
      </c>
      <c r="F108" s="137" t="s">
        <v>138</v>
      </c>
      <c r="G108" s="137">
        <v>7875890</v>
      </c>
      <c r="H108" s="137" t="s">
        <v>142</v>
      </c>
      <c r="I108" s="137" t="s">
        <v>967</v>
      </c>
      <c r="J108" s="137" t="s">
        <v>256</v>
      </c>
      <c r="K108" s="211">
        <v>22665</v>
      </c>
      <c r="L108" s="210">
        <v>19000</v>
      </c>
      <c r="M108" s="210">
        <v>19000</v>
      </c>
      <c r="N108" s="210">
        <v>9620</v>
      </c>
      <c r="O108" s="210"/>
      <c r="P108" s="51">
        <f t="shared" si="42"/>
        <v>5000</v>
      </c>
      <c r="Q108" s="210"/>
      <c r="R108" s="213">
        <v>5000</v>
      </c>
      <c r="S108" s="51"/>
      <c r="T108" s="51"/>
      <c r="U108" s="51"/>
      <c r="V108" s="51"/>
    </row>
    <row r="109" spans="1:22" ht="126.75" customHeight="1" x14ac:dyDescent="0.2">
      <c r="A109" s="140">
        <f>A108+1</f>
        <v>3</v>
      </c>
      <c r="B109" s="141" t="s">
        <v>333</v>
      </c>
      <c r="C109" s="168">
        <v>1</v>
      </c>
      <c r="D109" s="137" t="s">
        <v>100</v>
      </c>
      <c r="E109" s="137" t="s">
        <v>140</v>
      </c>
      <c r="F109" s="137" t="s">
        <v>138</v>
      </c>
      <c r="G109" s="142">
        <v>7875888</v>
      </c>
      <c r="H109" s="137" t="s">
        <v>145</v>
      </c>
      <c r="I109" s="137" t="s">
        <v>967</v>
      </c>
      <c r="J109" s="137" t="s">
        <v>252</v>
      </c>
      <c r="K109" s="211">
        <v>37179</v>
      </c>
      <c r="L109" s="210">
        <v>28100</v>
      </c>
      <c r="M109" s="210">
        <v>28100</v>
      </c>
      <c r="N109" s="210">
        <v>21100</v>
      </c>
      <c r="O109" s="210"/>
      <c r="P109" s="51">
        <f t="shared" si="42"/>
        <v>3000</v>
      </c>
      <c r="Q109" s="210"/>
      <c r="R109" s="213">
        <v>3000</v>
      </c>
      <c r="S109" s="51"/>
      <c r="T109" s="51"/>
      <c r="U109" s="51"/>
      <c r="V109" s="51"/>
    </row>
    <row r="110" spans="1:22" ht="117.75" customHeight="1" x14ac:dyDescent="0.2">
      <c r="A110" s="140">
        <f t="shared" ref="A110:A172" si="65">A109+1</f>
        <v>4</v>
      </c>
      <c r="B110" s="141" t="s">
        <v>334</v>
      </c>
      <c r="C110" s="168">
        <v>1</v>
      </c>
      <c r="D110" s="137" t="s">
        <v>100</v>
      </c>
      <c r="E110" s="137" t="s">
        <v>140</v>
      </c>
      <c r="F110" s="137" t="s">
        <v>138</v>
      </c>
      <c r="G110" s="142">
        <v>7875889</v>
      </c>
      <c r="H110" s="137" t="s">
        <v>146</v>
      </c>
      <c r="I110" s="137" t="s">
        <v>967</v>
      </c>
      <c r="J110" s="137" t="s">
        <v>253</v>
      </c>
      <c r="K110" s="211">
        <v>29776</v>
      </c>
      <c r="L110" s="210">
        <v>20400</v>
      </c>
      <c r="M110" s="210">
        <v>20400</v>
      </c>
      <c r="N110" s="210">
        <v>18000</v>
      </c>
      <c r="O110" s="210"/>
      <c r="P110" s="51">
        <f t="shared" si="42"/>
        <v>1700</v>
      </c>
      <c r="Q110" s="210"/>
      <c r="R110" s="213">
        <v>1700</v>
      </c>
      <c r="S110" s="51"/>
      <c r="T110" s="51"/>
      <c r="U110" s="51"/>
      <c r="V110" s="51"/>
    </row>
    <row r="111" spans="1:22" ht="113.25" customHeight="1" x14ac:dyDescent="0.2">
      <c r="A111" s="140">
        <f t="shared" si="65"/>
        <v>5</v>
      </c>
      <c r="B111" s="141" t="s">
        <v>335</v>
      </c>
      <c r="C111" s="168">
        <v>1</v>
      </c>
      <c r="D111" s="137" t="s">
        <v>100</v>
      </c>
      <c r="E111" s="137" t="s">
        <v>140</v>
      </c>
      <c r="F111" s="137" t="s">
        <v>138</v>
      </c>
      <c r="G111" s="142">
        <v>7889686</v>
      </c>
      <c r="H111" s="137" t="s">
        <v>143</v>
      </c>
      <c r="I111" s="137" t="s">
        <v>967</v>
      </c>
      <c r="J111" s="137" t="s">
        <v>257</v>
      </c>
      <c r="K111" s="216">
        <v>35946</v>
      </c>
      <c r="L111" s="210">
        <v>26352</v>
      </c>
      <c r="M111" s="210">
        <v>26352</v>
      </c>
      <c r="N111" s="210">
        <v>18712</v>
      </c>
      <c r="O111" s="210"/>
      <c r="P111" s="51">
        <f t="shared" si="42"/>
        <v>3000</v>
      </c>
      <c r="Q111" s="210"/>
      <c r="R111" s="213">
        <v>3000</v>
      </c>
      <c r="S111" s="51"/>
      <c r="T111" s="51"/>
      <c r="U111" s="51"/>
      <c r="V111" s="51"/>
    </row>
    <row r="112" spans="1:22" x14ac:dyDescent="0.2">
      <c r="A112" s="140"/>
      <c r="B112" s="139" t="s">
        <v>314</v>
      </c>
      <c r="C112" s="167">
        <f>SUM(C113:C115)</f>
        <v>3</v>
      </c>
      <c r="D112" s="144"/>
      <c r="E112" s="144"/>
      <c r="F112" s="144"/>
      <c r="G112" s="144"/>
      <c r="H112" s="144"/>
      <c r="I112" s="144"/>
      <c r="J112" s="144"/>
      <c r="K112" s="208">
        <f>SUM(K113:K115)</f>
        <v>101387</v>
      </c>
      <c r="L112" s="208">
        <f t="shared" ref="L112:R112" si="66">SUM(L113:L115)</f>
        <v>87806</v>
      </c>
      <c r="M112" s="208">
        <f t="shared" si="66"/>
        <v>87806</v>
      </c>
      <c r="N112" s="208">
        <f t="shared" si="66"/>
        <v>39765</v>
      </c>
      <c r="O112" s="208"/>
      <c r="P112" s="51">
        <f t="shared" si="42"/>
        <v>33934</v>
      </c>
      <c r="Q112" s="208">
        <f t="shared" si="66"/>
        <v>0</v>
      </c>
      <c r="R112" s="208">
        <f t="shared" si="66"/>
        <v>33934</v>
      </c>
      <c r="S112" s="51"/>
      <c r="T112" s="51"/>
      <c r="U112" s="51"/>
      <c r="V112" s="51"/>
    </row>
    <row r="113" spans="1:22" ht="47.25" x14ac:dyDescent="0.2">
      <c r="A113" s="140">
        <f t="shared" si="65"/>
        <v>1</v>
      </c>
      <c r="B113" s="141" t="s">
        <v>336</v>
      </c>
      <c r="C113" s="167">
        <v>1</v>
      </c>
      <c r="D113" s="145" t="s">
        <v>91</v>
      </c>
      <c r="E113" s="145" t="s">
        <v>206</v>
      </c>
      <c r="F113" s="137" t="s">
        <v>151</v>
      </c>
      <c r="G113" s="145">
        <v>7876394</v>
      </c>
      <c r="H113" s="145" t="s">
        <v>209</v>
      </c>
      <c r="I113" s="146" t="s">
        <v>967</v>
      </c>
      <c r="J113" s="147" t="s">
        <v>214</v>
      </c>
      <c r="K113" s="212">
        <v>37129</v>
      </c>
      <c r="L113" s="210">
        <v>30416</v>
      </c>
      <c r="M113" s="210">
        <v>30416</v>
      </c>
      <c r="N113" s="210">
        <v>11876</v>
      </c>
      <c r="O113" s="210"/>
      <c r="P113" s="51">
        <f t="shared" si="42"/>
        <v>12224</v>
      </c>
      <c r="Q113" s="210"/>
      <c r="R113" s="218">
        <v>12224</v>
      </c>
      <c r="S113" s="51"/>
      <c r="T113" s="51"/>
      <c r="U113" s="51"/>
      <c r="V113" s="51"/>
    </row>
    <row r="114" spans="1:22" ht="55.5" customHeight="1" x14ac:dyDescent="0.2">
      <c r="A114" s="140">
        <f t="shared" si="65"/>
        <v>2</v>
      </c>
      <c r="B114" s="141" t="s">
        <v>337</v>
      </c>
      <c r="C114" s="167">
        <v>1</v>
      </c>
      <c r="D114" s="145" t="s">
        <v>91</v>
      </c>
      <c r="E114" s="145" t="s">
        <v>206</v>
      </c>
      <c r="F114" s="137" t="s">
        <v>151</v>
      </c>
      <c r="G114" s="145">
        <v>7922688</v>
      </c>
      <c r="H114" s="145" t="s">
        <v>210</v>
      </c>
      <c r="I114" s="146" t="s">
        <v>80</v>
      </c>
      <c r="J114" s="147" t="s">
        <v>215</v>
      </c>
      <c r="K114" s="212">
        <v>44992</v>
      </c>
      <c r="L114" s="210">
        <v>42690</v>
      </c>
      <c r="M114" s="210">
        <v>42690</v>
      </c>
      <c r="N114" s="210">
        <v>18689</v>
      </c>
      <c r="O114" s="210"/>
      <c r="P114" s="51">
        <f t="shared" si="42"/>
        <v>16210</v>
      </c>
      <c r="Q114" s="210"/>
      <c r="R114" s="218">
        <v>16210</v>
      </c>
      <c r="S114" s="51"/>
      <c r="T114" s="51"/>
      <c r="U114" s="51"/>
      <c r="V114" s="51"/>
    </row>
    <row r="115" spans="1:22" ht="55.5" customHeight="1" x14ac:dyDescent="0.2">
      <c r="A115" s="140">
        <f t="shared" si="65"/>
        <v>3</v>
      </c>
      <c r="B115" s="141" t="s">
        <v>338</v>
      </c>
      <c r="C115" s="167">
        <v>1</v>
      </c>
      <c r="D115" s="145" t="s">
        <v>91</v>
      </c>
      <c r="E115" s="145" t="s">
        <v>206</v>
      </c>
      <c r="F115" s="137" t="s">
        <v>151</v>
      </c>
      <c r="G115" s="145">
        <v>7876147</v>
      </c>
      <c r="H115" s="145" t="s">
        <v>211</v>
      </c>
      <c r="I115" s="146" t="s">
        <v>967</v>
      </c>
      <c r="J115" s="147" t="s">
        <v>216</v>
      </c>
      <c r="K115" s="212">
        <v>19266</v>
      </c>
      <c r="L115" s="210">
        <v>14700</v>
      </c>
      <c r="M115" s="210">
        <v>14700</v>
      </c>
      <c r="N115" s="210">
        <v>9200</v>
      </c>
      <c r="O115" s="210"/>
      <c r="P115" s="51">
        <f t="shared" si="42"/>
        <v>5500</v>
      </c>
      <c r="Q115" s="210"/>
      <c r="R115" s="219">
        <v>5500</v>
      </c>
      <c r="S115" s="51"/>
      <c r="T115" s="51"/>
      <c r="U115" s="51"/>
      <c r="V115" s="51"/>
    </row>
    <row r="116" spans="1:22" x14ac:dyDescent="0.2">
      <c r="A116" s="140"/>
      <c r="B116" s="139" t="s">
        <v>185</v>
      </c>
      <c r="C116" s="167">
        <f>C117</f>
        <v>1</v>
      </c>
      <c r="D116" s="144"/>
      <c r="E116" s="144"/>
      <c r="F116" s="144"/>
      <c r="G116" s="144"/>
      <c r="H116" s="144"/>
      <c r="I116" s="144"/>
      <c r="J116" s="144"/>
      <c r="K116" s="208">
        <f>K117</f>
        <v>25982</v>
      </c>
      <c r="L116" s="208">
        <f t="shared" ref="L116:R116" si="67">L117</f>
        <v>23000</v>
      </c>
      <c r="M116" s="208">
        <f t="shared" si="67"/>
        <v>23000</v>
      </c>
      <c r="N116" s="208">
        <f t="shared" si="67"/>
        <v>7000</v>
      </c>
      <c r="O116" s="208"/>
      <c r="P116" s="51">
        <f t="shared" si="42"/>
        <v>16000</v>
      </c>
      <c r="Q116" s="208">
        <f t="shared" si="67"/>
        <v>0</v>
      </c>
      <c r="R116" s="208">
        <f t="shared" si="67"/>
        <v>16000</v>
      </c>
      <c r="S116" s="51"/>
      <c r="T116" s="51"/>
      <c r="U116" s="51"/>
      <c r="V116" s="51"/>
    </row>
    <row r="117" spans="1:22" ht="47.25" x14ac:dyDescent="0.2">
      <c r="A117" s="140">
        <f t="shared" si="65"/>
        <v>1</v>
      </c>
      <c r="B117" s="149" t="s">
        <v>339</v>
      </c>
      <c r="C117" s="167">
        <v>1</v>
      </c>
      <c r="D117" s="137" t="s">
        <v>93</v>
      </c>
      <c r="E117" s="137" t="s">
        <v>186</v>
      </c>
      <c r="F117" s="137" t="s">
        <v>184</v>
      </c>
      <c r="G117" s="137">
        <v>7935430</v>
      </c>
      <c r="H117" s="137" t="s">
        <v>190</v>
      </c>
      <c r="I117" s="137" t="s">
        <v>80</v>
      </c>
      <c r="J117" s="137" t="s">
        <v>191</v>
      </c>
      <c r="K117" s="211">
        <v>25982</v>
      </c>
      <c r="L117" s="210">
        <v>23000</v>
      </c>
      <c r="M117" s="210">
        <v>23000</v>
      </c>
      <c r="N117" s="210">
        <v>7000</v>
      </c>
      <c r="O117" s="210"/>
      <c r="P117" s="51">
        <f t="shared" si="42"/>
        <v>16000</v>
      </c>
      <c r="Q117" s="210"/>
      <c r="R117" s="220">
        <v>16000</v>
      </c>
      <c r="S117" s="51"/>
      <c r="T117" s="51"/>
      <c r="U117" s="51"/>
      <c r="V117" s="51"/>
    </row>
    <row r="118" spans="1:22" x14ac:dyDescent="0.2">
      <c r="A118" s="140"/>
      <c r="B118" s="139" t="s">
        <v>319</v>
      </c>
      <c r="C118" s="167">
        <f t="shared" ref="C118" si="68">SUM(C119:C120)</f>
        <v>2</v>
      </c>
      <c r="D118" s="144"/>
      <c r="E118" s="144"/>
      <c r="F118" s="144"/>
      <c r="G118" s="144"/>
      <c r="H118" s="144"/>
      <c r="I118" s="144"/>
      <c r="J118" s="144"/>
      <c r="K118" s="208">
        <f t="shared" ref="K118:R118" si="69">SUM(K119:K120)</f>
        <v>52130.786</v>
      </c>
      <c r="L118" s="208">
        <f t="shared" si="69"/>
        <v>33900</v>
      </c>
      <c r="M118" s="208">
        <f t="shared" si="69"/>
        <v>33900</v>
      </c>
      <c r="N118" s="208">
        <f t="shared" si="69"/>
        <v>7234</v>
      </c>
      <c r="O118" s="208"/>
      <c r="P118" s="51">
        <f t="shared" si="42"/>
        <v>24093</v>
      </c>
      <c r="Q118" s="208">
        <f t="shared" si="69"/>
        <v>0</v>
      </c>
      <c r="R118" s="208">
        <f t="shared" si="69"/>
        <v>24093</v>
      </c>
      <c r="S118" s="51"/>
      <c r="T118" s="51"/>
      <c r="U118" s="51"/>
      <c r="V118" s="51"/>
    </row>
    <row r="119" spans="1:22" ht="78.75" x14ac:dyDescent="0.2">
      <c r="A119" s="140">
        <v>1</v>
      </c>
      <c r="B119" s="149" t="s">
        <v>340</v>
      </c>
      <c r="C119" s="167">
        <v>1</v>
      </c>
      <c r="D119" s="145" t="s">
        <v>89</v>
      </c>
      <c r="E119" s="145" t="s">
        <v>154</v>
      </c>
      <c r="F119" s="137" t="s">
        <v>152</v>
      </c>
      <c r="G119" s="145">
        <v>7891908</v>
      </c>
      <c r="H119" s="145" t="s">
        <v>341</v>
      </c>
      <c r="I119" s="146" t="s">
        <v>80</v>
      </c>
      <c r="J119" s="150" t="s">
        <v>342</v>
      </c>
      <c r="K119" s="210">
        <v>28944.030999999999</v>
      </c>
      <c r="L119" s="210">
        <v>19800</v>
      </c>
      <c r="M119" s="210">
        <v>19800</v>
      </c>
      <c r="N119" s="210">
        <v>4850</v>
      </c>
      <c r="O119" s="210"/>
      <c r="P119" s="51">
        <f t="shared" si="42"/>
        <v>14000</v>
      </c>
      <c r="Q119" s="210"/>
      <c r="R119" s="217">
        <v>14000</v>
      </c>
      <c r="S119" s="51"/>
      <c r="T119" s="51"/>
      <c r="U119" s="51"/>
      <c r="V119" s="51"/>
    </row>
    <row r="120" spans="1:22" ht="78.75" x14ac:dyDescent="0.2">
      <c r="A120" s="140">
        <v>2</v>
      </c>
      <c r="B120" s="149" t="s">
        <v>343</v>
      </c>
      <c r="C120" s="167">
        <v>1</v>
      </c>
      <c r="D120" s="145" t="s">
        <v>89</v>
      </c>
      <c r="E120" s="145" t="s">
        <v>154</v>
      </c>
      <c r="F120" s="137" t="s">
        <v>152</v>
      </c>
      <c r="G120" s="145">
        <v>7891909</v>
      </c>
      <c r="H120" s="145" t="s">
        <v>344</v>
      </c>
      <c r="I120" s="146" t="s">
        <v>80</v>
      </c>
      <c r="J120" s="150" t="s">
        <v>345</v>
      </c>
      <c r="K120" s="210">
        <v>23186.755000000001</v>
      </c>
      <c r="L120" s="210">
        <v>14100</v>
      </c>
      <c r="M120" s="210">
        <v>14100</v>
      </c>
      <c r="N120" s="210">
        <v>2384</v>
      </c>
      <c r="O120" s="210"/>
      <c r="P120" s="51">
        <f t="shared" si="42"/>
        <v>10093</v>
      </c>
      <c r="Q120" s="210"/>
      <c r="R120" s="217">
        <v>10093</v>
      </c>
      <c r="S120" s="51"/>
      <c r="T120" s="51"/>
      <c r="U120" s="51"/>
      <c r="V120" s="51"/>
    </row>
    <row r="121" spans="1:22" x14ac:dyDescent="0.2">
      <c r="A121" s="140"/>
      <c r="B121" s="139" t="s">
        <v>346</v>
      </c>
      <c r="C121" s="167">
        <f>SUM(C122:C129)</f>
        <v>8</v>
      </c>
      <c r="D121" s="144"/>
      <c r="E121" s="144"/>
      <c r="F121" s="144"/>
      <c r="G121" s="144"/>
      <c r="H121" s="144"/>
      <c r="I121" s="144"/>
      <c r="J121" s="144"/>
      <c r="K121" s="208">
        <f>SUM(K122:K129)</f>
        <v>230157</v>
      </c>
      <c r="L121" s="208">
        <f t="shared" ref="L121:R121" si="70">SUM(L122:L129)</f>
        <v>180540</v>
      </c>
      <c r="M121" s="208">
        <f t="shared" si="70"/>
        <v>180540</v>
      </c>
      <c r="N121" s="208">
        <f t="shared" si="70"/>
        <v>117856</v>
      </c>
      <c r="O121" s="208"/>
      <c r="P121" s="51">
        <f t="shared" si="42"/>
        <v>51274</v>
      </c>
      <c r="Q121" s="208">
        <f t="shared" si="70"/>
        <v>0</v>
      </c>
      <c r="R121" s="208">
        <f t="shared" si="70"/>
        <v>51274</v>
      </c>
      <c r="S121" s="51"/>
      <c r="T121" s="51"/>
      <c r="U121" s="51"/>
      <c r="V121" s="51"/>
    </row>
    <row r="122" spans="1:22" ht="47.25" x14ac:dyDescent="0.2">
      <c r="A122" s="140">
        <f t="shared" si="65"/>
        <v>1</v>
      </c>
      <c r="B122" s="141" t="s">
        <v>347</v>
      </c>
      <c r="C122" s="167">
        <v>1</v>
      </c>
      <c r="D122" s="137" t="s">
        <v>123</v>
      </c>
      <c r="E122" s="137" t="s">
        <v>127</v>
      </c>
      <c r="F122" s="137" t="s">
        <v>122</v>
      </c>
      <c r="G122" s="142">
        <v>7918959</v>
      </c>
      <c r="H122" s="137" t="s">
        <v>129</v>
      </c>
      <c r="I122" s="137" t="s">
        <v>80</v>
      </c>
      <c r="J122" s="150" t="s">
        <v>134</v>
      </c>
      <c r="K122" s="221">
        <v>21912</v>
      </c>
      <c r="L122" s="210">
        <v>15400</v>
      </c>
      <c r="M122" s="210">
        <v>15400</v>
      </c>
      <c r="N122" s="210">
        <v>6500</v>
      </c>
      <c r="O122" s="210"/>
      <c r="P122" s="51">
        <f t="shared" si="42"/>
        <v>8500</v>
      </c>
      <c r="Q122" s="210"/>
      <c r="R122" s="210">
        <v>8500</v>
      </c>
      <c r="S122" s="51"/>
      <c r="T122" s="51"/>
      <c r="U122" s="51"/>
      <c r="V122" s="51"/>
    </row>
    <row r="123" spans="1:22" ht="47.25" x14ac:dyDescent="0.2">
      <c r="A123" s="140">
        <f t="shared" si="65"/>
        <v>2</v>
      </c>
      <c r="B123" s="141" t="s">
        <v>348</v>
      </c>
      <c r="C123" s="167">
        <v>1</v>
      </c>
      <c r="D123" s="137" t="s">
        <v>123</v>
      </c>
      <c r="E123" s="137" t="s">
        <v>127</v>
      </c>
      <c r="F123" s="137" t="s">
        <v>122</v>
      </c>
      <c r="G123" s="142">
        <v>7908787</v>
      </c>
      <c r="H123" s="137" t="s">
        <v>131</v>
      </c>
      <c r="I123" s="137" t="s">
        <v>80</v>
      </c>
      <c r="J123" s="150" t="s">
        <v>136</v>
      </c>
      <c r="K123" s="221">
        <v>21875</v>
      </c>
      <c r="L123" s="210">
        <v>17400</v>
      </c>
      <c r="M123" s="210">
        <v>17400</v>
      </c>
      <c r="N123" s="210">
        <v>10400</v>
      </c>
      <c r="O123" s="210"/>
      <c r="P123" s="51">
        <f t="shared" si="42"/>
        <v>7000</v>
      </c>
      <c r="Q123" s="210"/>
      <c r="R123" s="210">
        <v>7000</v>
      </c>
      <c r="S123" s="51"/>
      <c r="T123" s="51"/>
      <c r="U123" s="51"/>
      <c r="V123" s="51"/>
    </row>
    <row r="124" spans="1:22" ht="47.25" x14ac:dyDescent="0.2">
      <c r="A124" s="140">
        <f t="shared" si="65"/>
        <v>3</v>
      </c>
      <c r="B124" s="149" t="s">
        <v>349</v>
      </c>
      <c r="C124" s="168">
        <v>1</v>
      </c>
      <c r="D124" s="137" t="s">
        <v>123</v>
      </c>
      <c r="E124" s="137" t="s">
        <v>121</v>
      </c>
      <c r="F124" s="137" t="s">
        <v>122</v>
      </c>
      <c r="G124" s="142">
        <v>7871803</v>
      </c>
      <c r="H124" s="154"/>
      <c r="I124" s="137" t="s">
        <v>968</v>
      </c>
      <c r="J124" s="137" t="s">
        <v>126</v>
      </c>
      <c r="K124" s="221">
        <v>41975</v>
      </c>
      <c r="L124" s="210">
        <v>33397</v>
      </c>
      <c r="M124" s="210">
        <v>33397</v>
      </c>
      <c r="N124" s="210">
        <v>27597</v>
      </c>
      <c r="O124" s="210"/>
      <c r="P124" s="51">
        <f t="shared" si="42"/>
        <v>5800</v>
      </c>
      <c r="Q124" s="210"/>
      <c r="R124" s="210">
        <v>5800</v>
      </c>
      <c r="S124" s="51"/>
      <c r="T124" s="51"/>
      <c r="U124" s="51"/>
      <c r="V124" s="51"/>
    </row>
    <row r="125" spans="1:22" ht="47.25" x14ac:dyDescent="0.2">
      <c r="A125" s="140">
        <f t="shared" si="65"/>
        <v>4</v>
      </c>
      <c r="B125" s="149" t="s">
        <v>350</v>
      </c>
      <c r="C125" s="167">
        <v>1</v>
      </c>
      <c r="D125" s="137" t="s">
        <v>123</v>
      </c>
      <c r="E125" s="137" t="s">
        <v>127</v>
      </c>
      <c r="F125" s="137" t="s">
        <v>122</v>
      </c>
      <c r="G125" s="142">
        <v>7906801</v>
      </c>
      <c r="H125" s="137" t="s">
        <v>128</v>
      </c>
      <c r="I125" s="137" t="s">
        <v>80</v>
      </c>
      <c r="J125" s="150" t="s">
        <v>133</v>
      </c>
      <c r="K125" s="221">
        <v>26408</v>
      </c>
      <c r="L125" s="210">
        <v>20000</v>
      </c>
      <c r="M125" s="210">
        <v>20000</v>
      </c>
      <c r="N125" s="210">
        <v>13016</v>
      </c>
      <c r="O125" s="210"/>
      <c r="P125" s="51">
        <f t="shared" si="42"/>
        <v>3674</v>
      </c>
      <c r="Q125" s="210"/>
      <c r="R125" s="210">
        <v>3674</v>
      </c>
      <c r="S125" s="51"/>
      <c r="T125" s="51"/>
      <c r="U125" s="51"/>
      <c r="V125" s="51"/>
    </row>
    <row r="126" spans="1:22" ht="47.25" x14ac:dyDescent="0.2">
      <c r="A126" s="140">
        <f t="shared" si="65"/>
        <v>5</v>
      </c>
      <c r="B126" s="149" t="s">
        <v>351</v>
      </c>
      <c r="C126" s="167">
        <v>1</v>
      </c>
      <c r="D126" s="137" t="s">
        <v>123</v>
      </c>
      <c r="E126" s="137" t="s">
        <v>127</v>
      </c>
      <c r="F126" s="137" t="s">
        <v>122</v>
      </c>
      <c r="G126" s="142">
        <v>7894913</v>
      </c>
      <c r="H126" s="137" t="s">
        <v>132</v>
      </c>
      <c r="I126" s="137" t="s">
        <v>80</v>
      </c>
      <c r="J126" s="150" t="s">
        <v>137</v>
      </c>
      <c r="K126" s="221">
        <v>20517</v>
      </c>
      <c r="L126" s="210">
        <v>19800</v>
      </c>
      <c r="M126" s="210">
        <v>19800</v>
      </c>
      <c r="N126" s="210">
        <v>9800</v>
      </c>
      <c r="O126" s="210"/>
      <c r="P126" s="51">
        <f t="shared" si="42"/>
        <v>5300</v>
      </c>
      <c r="Q126" s="210"/>
      <c r="R126" s="210">
        <v>5300</v>
      </c>
      <c r="S126" s="51"/>
      <c r="T126" s="51"/>
      <c r="U126" s="51"/>
      <c r="V126" s="51"/>
    </row>
    <row r="127" spans="1:22" ht="47.25" x14ac:dyDescent="0.2">
      <c r="A127" s="140">
        <f t="shared" si="65"/>
        <v>6</v>
      </c>
      <c r="B127" s="149" t="s">
        <v>352</v>
      </c>
      <c r="C127" s="168">
        <v>1</v>
      </c>
      <c r="D127" s="137" t="s">
        <v>123</v>
      </c>
      <c r="E127" s="137" t="s">
        <v>121</v>
      </c>
      <c r="F127" s="137" t="s">
        <v>122</v>
      </c>
      <c r="G127" s="142">
        <v>7868850</v>
      </c>
      <c r="H127" s="137"/>
      <c r="I127" s="137" t="s">
        <v>968</v>
      </c>
      <c r="J127" s="137" t="s">
        <v>125</v>
      </c>
      <c r="K127" s="221">
        <v>37654</v>
      </c>
      <c r="L127" s="210">
        <v>31291</v>
      </c>
      <c r="M127" s="210">
        <v>31291</v>
      </c>
      <c r="N127" s="210">
        <v>20291</v>
      </c>
      <c r="O127" s="210"/>
      <c r="P127" s="51">
        <f t="shared" si="42"/>
        <v>8100</v>
      </c>
      <c r="Q127" s="210"/>
      <c r="R127" s="213">
        <v>8100</v>
      </c>
      <c r="S127" s="51"/>
      <c r="T127" s="51"/>
      <c r="U127" s="51"/>
      <c r="V127" s="51"/>
    </row>
    <row r="128" spans="1:22" ht="47.25" x14ac:dyDescent="0.2">
      <c r="A128" s="140">
        <f t="shared" si="65"/>
        <v>7</v>
      </c>
      <c r="B128" s="149" t="s">
        <v>353</v>
      </c>
      <c r="C128" s="168">
        <v>1</v>
      </c>
      <c r="D128" s="137" t="s">
        <v>123</v>
      </c>
      <c r="E128" s="137" t="s">
        <v>121</v>
      </c>
      <c r="F128" s="137" t="s">
        <v>122</v>
      </c>
      <c r="G128" s="142">
        <v>7866287</v>
      </c>
      <c r="H128" s="137"/>
      <c r="I128" s="137" t="s">
        <v>968</v>
      </c>
      <c r="J128" s="137" t="s">
        <v>124</v>
      </c>
      <c r="K128" s="221">
        <v>35544</v>
      </c>
      <c r="L128" s="210">
        <v>27852</v>
      </c>
      <c r="M128" s="210">
        <v>27852</v>
      </c>
      <c r="N128" s="210">
        <v>20852</v>
      </c>
      <c r="O128" s="210"/>
      <c r="P128" s="51">
        <f t="shared" si="42"/>
        <v>6900</v>
      </c>
      <c r="Q128" s="210"/>
      <c r="R128" s="213">
        <v>6900</v>
      </c>
      <c r="S128" s="51"/>
      <c r="T128" s="51"/>
      <c r="U128" s="51"/>
      <c r="V128" s="51"/>
    </row>
    <row r="129" spans="1:22" ht="47.25" x14ac:dyDescent="0.2">
      <c r="A129" s="140">
        <f t="shared" si="65"/>
        <v>8</v>
      </c>
      <c r="B129" s="149" t="s">
        <v>354</v>
      </c>
      <c r="C129" s="167">
        <v>1</v>
      </c>
      <c r="D129" s="137" t="s">
        <v>123</v>
      </c>
      <c r="E129" s="137" t="s">
        <v>127</v>
      </c>
      <c r="F129" s="137" t="s">
        <v>122</v>
      </c>
      <c r="G129" s="142">
        <v>7917192</v>
      </c>
      <c r="H129" s="137" t="s">
        <v>130</v>
      </c>
      <c r="I129" s="137" t="s">
        <v>80</v>
      </c>
      <c r="J129" s="150" t="s">
        <v>135</v>
      </c>
      <c r="K129" s="221">
        <v>24272</v>
      </c>
      <c r="L129" s="210">
        <v>15400</v>
      </c>
      <c r="M129" s="210">
        <v>15400</v>
      </c>
      <c r="N129" s="210">
        <v>9400</v>
      </c>
      <c r="O129" s="210"/>
      <c r="P129" s="51">
        <f t="shared" ref="P129:P192" si="71">SUM(Q129:U129)</f>
        <v>6000</v>
      </c>
      <c r="Q129" s="210"/>
      <c r="R129" s="213">
        <v>6000</v>
      </c>
      <c r="S129" s="51"/>
      <c r="T129" s="51"/>
      <c r="U129" s="51"/>
      <c r="V129" s="51"/>
    </row>
    <row r="130" spans="1:22" x14ac:dyDescent="0.2">
      <c r="A130" s="140"/>
      <c r="B130" s="139" t="s">
        <v>355</v>
      </c>
      <c r="C130" s="167">
        <f>SUM(C131:C133)</f>
        <v>3</v>
      </c>
      <c r="D130" s="144"/>
      <c r="E130" s="144"/>
      <c r="F130" s="144"/>
      <c r="G130" s="144"/>
      <c r="H130" s="144"/>
      <c r="I130" s="144"/>
      <c r="J130" s="144"/>
      <c r="K130" s="208">
        <f>SUM(K131:K133)</f>
        <v>89985</v>
      </c>
      <c r="L130" s="208">
        <f t="shared" ref="L130:R130" si="72">SUM(L131:L133)</f>
        <v>72743</v>
      </c>
      <c r="M130" s="208">
        <f t="shared" si="72"/>
        <v>72743</v>
      </c>
      <c r="N130" s="208">
        <f t="shared" si="72"/>
        <v>41600</v>
      </c>
      <c r="O130" s="208"/>
      <c r="P130" s="51">
        <f t="shared" si="71"/>
        <v>12600</v>
      </c>
      <c r="Q130" s="208">
        <f t="shared" si="72"/>
        <v>0</v>
      </c>
      <c r="R130" s="208">
        <f t="shared" si="72"/>
        <v>12600</v>
      </c>
      <c r="S130" s="51"/>
      <c r="T130" s="51"/>
      <c r="U130" s="51"/>
      <c r="V130" s="51"/>
    </row>
    <row r="131" spans="1:22" ht="63" x14ac:dyDescent="0.2">
      <c r="A131" s="140">
        <f t="shared" si="65"/>
        <v>1</v>
      </c>
      <c r="B131" s="141" t="s">
        <v>356</v>
      </c>
      <c r="C131" s="167">
        <v>1</v>
      </c>
      <c r="D131" s="145" t="s">
        <v>73</v>
      </c>
      <c r="E131" s="145" t="s">
        <v>72</v>
      </c>
      <c r="F131" s="137" t="s">
        <v>182</v>
      </c>
      <c r="G131" s="145">
        <v>7915045</v>
      </c>
      <c r="H131" s="145"/>
      <c r="I131" s="148" t="s">
        <v>75</v>
      </c>
      <c r="J131" s="137" t="s">
        <v>357</v>
      </c>
      <c r="K131" s="222">
        <v>20068</v>
      </c>
      <c r="L131" s="210">
        <v>11473</v>
      </c>
      <c r="M131" s="210">
        <v>11473</v>
      </c>
      <c r="N131" s="210">
        <v>3700</v>
      </c>
      <c r="O131" s="210"/>
      <c r="P131" s="51">
        <f t="shared" si="71"/>
        <v>4000</v>
      </c>
      <c r="Q131" s="210"/>
      <c r="R131" s="210">
        <v>4000</v>
      </c>
      <c r="S131" s="51"/>
      <c r="T131" s="51"/>
      <c r="U131" s="51"/>
      <c r="V131" s="51"/>
    </row>
    <row r="132" spans="1:22" ht="94.5" x14ac:dyDescent="0.2">
      <c r="A132" s="140">
        <f t="shared" si="65"/>
        <v>2</v>
      </c>
      <c r="B132" s="141" t="s">
        <v>358</v>
      </c>
      <c r="C132" s="168">
        <v>1</v>
      </c>
      <c r="D132" s="137" t="s">
        <v>73</v>
      </c>
      <c r="E132" s="137" t="s">
        <v>72</v>
      </c>
      <c r="F132" s="137" t="s">
        <v>182</v>
      </c>
      <c r="G132" s="137">
        <v>7877488</v>
      </c>
      <c r="H132" s="137"/>
      <c r="I132" s="137" t="s">
        <v>80</v>
      </c>
      <c r="J132" s="137" t="s">
        <v>359</v>
      </c>
      <c r="K132" s="210">
        <v>32751</v>
      </c>
      <c r="L132" s="210">
        <v>28100</v>
      </c>
      <c r="M132" s="210">
        <v>28100</v>
      </c>
      <c r="N132" s="210">
        <v>19600</v>
      </c>
      <c r="O132" s="210"/>
      <c r="P132" s="51">
        <f t="shared" si="71"/>
        <v>4600</v>
      </c>
      <c r="Q132" s="210"/>
      <c r="R132" s="213">
        <v>4600</v>
      </c>
      <c r="S132" s="51"/>
      <c r="T132" s="51"/>
      <c r="U132" s="51"/>
      <c r="V132" s="51"/>
    </row>
    <row r="133" spans="1:22" ht="47.25" x14ac:dyDescent="0.2">
      <c r="A133" s="140">
        <f t="shared" si="65"/>
        <v>3</v>
      </c>
      <c r="B133" s="141" t="s">
        <v>360</v>
      </c>
      <c r="C133" s="150">
        <v>1</v>
      </c>
      <c r="D133" s="145" t="s">
        <v>73</v>
      </c>
      <c r="E133" s="145" t="s">
        <v>72</v>
      </c>
      <c r="F133" s="137" t="s">
        <v>182</v>
      </c>
      <c r="G133" s="145">
        <v>7913210</v>
      </c>
      <c r="H133" s="145"/>
      <c r="I133" s="148" t="s">
        <v>75</v>
      </c>
      <c r="J133" s="137" t="s">
        <v>183</v>
      </c>
      <c r="K133" s="222">
        <v>37166</v>
      </c>
      <c r="L133" s="210">
        <v>33170</v>
      </c>
      <c r="M133" s="210">
        <v>33170</v>
      </c>
      <c r="N133" s="210">
        <v>18300</v>
      </c>
      <c r="O133" s="210"/>
      <c r="P133" s="51">
        <f t="shared" si="71"/>
        <v>4000</v>
      </c>
      <c r="Q133" s="210"/>
      <c r="R133" s="213">
        <v>4000</v>
      </c>
      <c r="S133" s="51"/>
      <c r="T133" s="51"/>
      <c r="U133" s="51"/>
      <c r="V133" s="51"/>
    </row>
    <row r="134" spans="1:22" x14ac:dyDescent="0.2">
      <c r="A134" s="140"/>
      <c r="B134" s="139" t="s">
        <v>361</v>
      </c>
      <c r="C134" s="167">
        <f>SUM(C135:C143)</f>
        <v>9</v>
      </c>
      <c r="D134" s="137"/>
      <c r="E134" s="137"/>
      <c r="F134" s="137"/>
      <c r="G134" s="137"/>
      <c r="H134" s="137"/>
      <c r="I134" s="137"/>
      <c r="J134" s="137"/>
      <c r="K134" s="208">
        <f>SUM(K135:K143)</f>
        <v>228570</v>
      </c>
      <c r="L134" s="208">
        <f t="shared" ref="L134:R134" si="73">SUM(L135:L143)</f>
        <v>189500.94</v>
      </c>
      <c r="M134" s="208">
        <f t="shared" si="73"/>
        <v>189500.94</v>
      </c>
      <c r="N134" s="208">
        <f t="shared" si="73"/>
        <v>108116</v>
      </c>
      <c r="O134" s="208"/>
      <c r="P134" s="51">
        <f t="shared" si="71"/>
        <v>74288</v>
      </c>
      <c r="Q134" s="208">
        <f t="shared" si="73"/>
        <v>0</v>
      </c>
      <c r="R134" s="208">
        <f t="shared" si="73"/>
        <v>74288</v>
      </c>
      <c r="S134" s="51"/>
      <c r="T134" s="51"/>
      <c r="U134" s="51"/>
      <c r="V134" s="51"/>
    </row>
    <row r="135" spans="1:22" ht="47.25" x14ac:dyDescent="0.2">
      <c r="A135" s="140">
        <f t="shared" si="65"/>
        <v>1</v>
      </c>
      <c r="B135" s="141" t="s">
        <v>362</v>
      </c>
      <c r="C135" s="150">
        <v>1</v>
      </c>
      <c r="D135" s="137" t="s">
        <v>71</v>
      </c>
      <c r="E135" s="137" t="s">
        <v>204</v>
      </c>
      <c r="F135" s="137" t="s">
        <v>194</v>
      </c>
      <c r="G135" s="155">
        <v>7891860</v>
      </c>
      <c r="H135" s="137"/>
      <c r="I135" s="146" t="s">
        <v>80</v>
      </c>
      <c r="J135" s="137" t="s">
        <v>198</v>
      </c>
      <c r="K135" s="210">
        <v>34130</v>
      </c>
      <c r="L135" s="210">
        <v>31014.441999999999</v>
      </c>
      <c r="M135" s="210">
        <v>31014.441999999999</v>
      </c>
      <c r="N135" s="210">
        <v>12600</v>
      </c>
      <c r="O135" s="210"/>
      <c r="P135" s="51">
        <f t="shared" si="71"/>
        <v>16792</v>
      </c>
      <c r="Q135" s="210"/>
      <c r="R135" s="211">
        <v>16792</v>
      </c>
      <c r="S135" s="51"/>
      <c r="T135" s="51"/>
      <c r="U135" s="51"/>
      <c r="V135" s="51"/>
    </row>
    <row r="136" spans="1:22" ht="47.25" x14ac:dyDescent="0.2">
      <c r="A136" s="140">
        <f t="shared" si="65"/>
        <v>2</v>
      </c>
      <c r="B136" s="149" t="s">
        <v>363</v>
      </c>
      <c r="C136" s="150">
        <v>1</v>
      </c>
      <c r="D136" s="137" t="s">
        <v>71</v>
      </c>
      <c r="E136" s="137" t="s">
        <v>204</v>
      </c>
      <c r="F136" s="137" t="s">
        <v>194</v>
      </c>
      <c r="G136" s="155">
        <v>7891854</v>
      </c>
      <c r="H136" s="137"/>
      <c r="I136" s="146" t="s">
        <v>80</v>
      </c>
      <c r="J136" s="137" t="s">
        <v>197</v>
      </c>
      <c r="K136" s="210">
        <v>21282</v>
      </c>
      <c r="L136" s="210">
        <v>17511</v>
      </c>
      <c r="M136" s="210">
        <v>17511</v>
      </c>
      <c r="N136" s="210">
        <v>14111</v>
      </c>
      <c r="O136" s="210"/>
      <c r="P136" s="51">
        <f t="shared" si="71"/>
        <v>2927</v>
      </c>
      <c r="Q136" s="210"/>
      <c r="R136" s="210">
        <v>2927</v>
      </c>
      <c r="S136" s="51"/>
      <c r="T136" s="51"/>
      <c r="U136" s="51"/>
      <c r="V136" s="51"/>
    </row>
    <row r="137" spans="1:22" ht="47.25" x14ac:dyDescent="0.2">
      <c r="A137" s="140">
        <f t="shared" si="65"/>
        <v>3</v>
      </c>
      <c r="B137" s="141" t="s">
        <v>364</v>
      </c>
      <c r="C137" s="150">
        <v>1</v>
      </c>
      <c r="D137" s="137" t="s">
        <v>71</v>
      </c>
      <c r="E137" s="137" t="s">
        <v>204</v>
      </c>
      <c r="F137" s="137" t="s">
        <v>194</v>
      </c>
      <c r="G137" s="155">
        <v>7891851</v>
      </c>
      <c r="H137" s="137"/>
      <c r="I137" s="146" t="s">
        <v>80</v>
      </c>
      <c r="J137" s="137" t="s">
        <v>199</v>
      </c>
      <c r="K137" s="210">
        <v>29295</v>
      </c>
      <c r="L137" s="210">
        <v>26200</v>
      </c>
      <c r="M137" s="210">
        <v>26200</v>
      </c>
      <c r="N137" s="210">
        <v>7700</v>
      </c>
      <c r="O137" s="210"/>
      <c r="P137" s="51">
        <f t="shared" si="71"/>
        <v>16107</v>
      </c>
      <c r="Q137" s="210"/>
      <c r="R137" s="210">
        <v>16107</v>
      </c>
      <c r="S137" s="51"/>
      <c r="T137" s="51"/>
      <c r="U137" s="51"/>
      <c r="V137" s="51"/>
    </row>
    <row r="138" spans="1:22" ht="47.25" x14ac:dyDescent="0.2">
      <c r="A138" s="140">
        <f t="shared" si="65"/>
        <v>4</v>
      </c>
      <c r="B138" s="141" t="s">
        <v>365</v>
      </c>
      <c r="C138" s="168">
        <v>1</v>
      </c>
      <c r="D138" s="137" t="s">
        <v>71</v>
      </c>
      <c r="E138" s="137" t="s">
        <v>204</v>
      </c>
      <c r="F138" s="137" t="s">
        <v>194</v>
      </c>
      <c r="G138" s="142">
        <v>7876397</v>
      </c>
      <c r="H138" s="137"/>
      <c r="I138" s="137" t="s">
        <v>969</v>
      </c>
      <c r="J138" s="137" t="s">
        <v>203</v>
      </c>
      <c r="K138" s="211">
        <v>29388</v>
      </c>
      <c r="L138" s="210">
        <v>21700.27</v>
      </c>
      <c r="M138" s="210">
        <v>21700.27</v>
      </c>
      <c r="N138" s="210">
        <v>17300</v>
      </c>
      <c r="O138" s="210"/>
      <c r="P138" s="51">
        <f t="shared" si="71"/>
        <v>4297</v>
      </c>
      <c r="Q138" s="210"/>
      <c r="R138" s="210">
        <v>4297</v>
      </c>
      <c r="S138" s="51"/>
      <c r="T138" s="51"/>
      <c r="U138" s="51"/>
      <c r="V138" s="51"/>
    </row>
    <row r="139" spans="1:22" ht="78.75" x14ac:dyDescent="0.2">
      <c r="A139" s="140">
        <f t="shared" si="65"/>
        <v>5</v>
      </c>
      <c r="B139" s="141" t="s">
        <v>366</v>
      </c>
      <c r="C139" s="168">
        <v>1</v>
      </c>
      <c r="D139" s="137" t="s">
        <v>71</v>
      </c>
      <c r="E139" s="137" t="s">
        <v>196</v>
      </c>
      <c r="F139" s="137" t="s">
        <v>194</v>
      </c>
      <c r="G139" s="137">
        <v>7876396</v>
      </c>
      <c r="H139" s="137"/>
      <c r="I139" s="137" t="s">
        <v>969</v>
      </c>
      <c r="J139" s="137" t="s">
        <v>367</v>
      </c>
      <c r="K139" s="211">
        <v>25737</v>
      </c>
      <c r="L139" s="210">
        <v>22165.260000000002</v>
      </c>
      <c r="M139" s="210">
        <v>22165.260000000002</v>
      </c>
      <c r="N139" s="210">
        <v>18665</v>
      </c>
      <c r="O139" s="210"/>
      <c r="P139" s="51">
        <f t="shared" si="71"/>
        <v>3186</v>
      </c>
      <c r="Q139" s="210"/>
      <c r="R139" s="210">
        <v>3186</v>
      </c>
      <c r="S139" s="51"/>
      <c r="T139" s="51"/>
      <c r="U139" s="51"/>
      <c r="V139" s="51"/>
    </row>
    <row r="140" spans="1:22" ht="47.25" x14ac:dyDescent="0.2">
      <c r="A140" s="140">
        <f t="shared" si="65"/>
        <v>6</v>
      </c>
      <c r="B140" s="141" t="s">
        <v>368</v>
      </c>
      <c r="C140" s="168">
        <v>1</v>
      </c>
      <c r="D140" s="137" t="s">
        <v>71</v>
      </c>
      <c r="E140" s="137" t="s">
        <v>196</v>
      </c>
      <c r="F140" s="137" t="s">
        <v>194</v>
      </c>
      <c r="G140" s="137" t="s">
        <v>369</v>
      </c>
      <c r="H140" s="137"/>
      <c r="I140" s="137" t="s">
        <v>80</v>
      </c>
      <c r="J140" s="137" t="s">
        <v>195</v>
      </c>
      <c r="K140" s="211">
        <v>19681</v>
      </c>
      <c r="L140" s="210">
        <v>15440</v>
      </c>
      <c r="M140" s="210">
        <v>15440</v>
      </c>
      <c r="N140" s="210">
        <v>14140</v>
      </c>
      <c r="O140" s="210"/>
      <c r="P140" s="51">
        <f t="shared" si="71"/>
        <v>717</v>
      </c>
      <c r="Q140" s="210"/>
      <c r="R140" s="210">
        <v>717</v>
      </c>
      <c r="S140" s="51"/>
      <c r="T140" s="51"/>
      <c r="U140" s="51"/>
      <c r="V140" s="51"/>
    </row>
    <row r="141" spans="1:22" ht="47.25" x14ac:dyDescent="0.2">
      <c r="A141" s="140">
        <f t="shared" si="65"/>
        <v>7</v>
      </c>
      <c r="B141" s="141" t="s">
        <v>370</v>
      </c>
      <c r="C141" s="150">
        <v>1</v>
      </c>
      <c r="D141" s="137" t="s">
        <v>71</v>
      </c>
      <c r="E141" s="137" t="s">
        <v>204</v>
      </c>
      <c r="F141" s="137" t="s">
        <v>194</v>
      </c>
      <c r="G141" s="155">
        <v>7891858</v>
      </c>
      <c r="H141" s="137"/>
      <c r="I141" s="146" t="s">
        <v>80</v>
      </c>
      <c r="J141" s="137" t="s">
        <v>200</v>
      </c>
      <c r="K141" s="210">
        <v>26676</v>
      </c>
      <c r="L141" s="210">
        <v>19499.733</v>
      </c>
      <c r="M141" s="210">
        <v>19499.733</v>
      </c>
      <c r="N141" s="210">
        <v>6100</v>
      </c>
      <c r="O141" s="210"/>
      <c r="P141" s="51">
        <f t="shared" si="71"/>
        <v>12875</v>
      </c>
      <c r="Q141" s="210"/>
      <c r="R141" s="210">
        <v>12875</v>
      </c>
      <c r="S141" s="51"/>
      <c r="T141" s="51"/>
      <c r="U141" s="51"/>
      <c r="V141" s="51"/>
    </row>
    <row r="142" spans="1:22" ht="47.25" x14ac:dyDescent="0.2">
      <c r="A142" s="140">
        <v>8</v>
      </c>
      <c r="B142" s="141" t="s">
        <v>371</v>
      </c>
      <c r="C142" s="150">
        <v>1</v>
      </c>
      <c r="D142" s="137" t="s">
        <v>71</v>
      </c>
      <c r="E142" s="137" t="s">
        <v>204</v>
      </c>
      <c r="F142" s="137" t="s">
        <v>194</v>
      </c>
      <c r="G142" s="155">
        <v>7891856</v>
      </c>
      <c r="H142" s="137"/>
      <c r="I142" s="146" t="s">
        <v>80</v>
      </c>
      <c r="J142" s="137" t="s">
        <v>201</v>
      </c>
      <c r="K142" s="210">
        <v>20841</v>
      </c>
      <c r="L142" s="210">
        <v>17200.235000000001</v>
      </c>
      <c r="M142" s="210">
        <v>17200.235000000001</v>
      </c>
      <c r="N142" s="210">
        <v>6700</v>
      </c>
      <c r="O142" s="210"/>
      <c r="P142" s="51">
        <f t="shared" si="71"/>
        <v>9682</v>
      </c>
      <c r="Q142" s="210"/>
      <c r="R142" s="210">
        <v>9682</v>
      </c>
      <c r="S142" s="51"/>
      <c r="T142" s="51"/>
      <c r="U142" s="51"/>
      <c r="V142" s="51"/>
    </row>
    <row r="143" spans="1:22" ht="47.25" x14ac:dyDescent="0.2">
      <c r="A143" s="140">
        <v>9</v>
      </c>
      <c r="B143" s="141" t="s">
        <v>372</v>
      </c>
      <c r="C143" s="150">
        <v>1</v>
      </c>
      <c r="D143" s="137" t="s">
        <v>71</v>
      </c>
      <c r="E143" s="137" t="s">
        <v>204</v>
      </c>
      <c r="F143" s="137" t="s">
        <v>194</v>
      </c>
      <c r="G143" s="155">
        <v>7891857</v>
      </c>
      <c r="H143" s="137"/>
      <c r="I143" s="146" t="s">
        <v>80</v>
      </c>
      <c r="J143" s="137" t="s">
        <v>202</v>
      </c>
      <c r="K143" s="210">
        <v>21540</v>
      </c>
      <c r="L143" s="210">
        <v>18770</v>
      </c>
      <c r="M143" s="210">
        <v>18770</v>
      </c>
      <c r="N143" s="210">
        <v>10800</v>
      </c>
      <c r="O143" s="210"/>
      <c r="P143" s="51">
        <f t="shared" si="71"/>
        <v>7705</v>
      </c>
      <c r="Q143" s="210"/>
      <c r="R143" s="210">
        <v>7705</v>
      </c>
      <c r="S143" s="51"/>
      <c r="T143" s="51"/>
      <c r="U143" s="51"/>
      <c r="V143" s="51"/>
    </row>
    <row r="144" spans="1:22" x14ac:dyDescent="0.2">
      <c r="A144" s="140"/>
      <c r="B144" s="139" t="s">
        <v>373</v>
      </c>
      <c r="C144" s="167">
        <f>SUM(C145:C152)</f>
        <v>8</v>
      </c>
      <c r="D144" s="137"/>
      <c r="E144" s="137"/>
      <c r="F144" s="137"/>
      <c r="G144" s="137"/>
      <c r="H144" s="137"/>
      <c r="I144" s="137"/>
      <c r="J144" s="137"/>
      <c r="K144" s="208">
        <f>SUM(K145:K152)</f>
        <v>268775.17599999998</v>
      </c>
      <c r="L144" s="208">
        <f t="shared" ref="L144:R144" si="74">SUM(L145:L152)</f>
        <v>199363</v>
      </c>
      <c r="M144" s="208">
        <f t="shared" si="74"/>
        <v>199363</v>
      </c>
      <c r="N144" s="208">
        <f t="shared" si="74"/>
        <v>86685</v>
      </c>
      <c r="O144" s="208"/>
      <c r="P144" s="51">
        <f t="shared" si="71"/>
        <v>104000</v>
      </c>
      <c r="Q144" s="208">
        <f t="shared" si="74"/>
        <v>0</v>
      </c>
      <c r="R144" s="208">
        <f t="shared" si="74"/>
        <v>104000</v>
      </c>
      <c r="S144" s="51"/>
      <c r="T144" s="51"/>
      <c r="U144" s="51"/>
      <c r="V144" s="51"/>
    </row>
    <row r="145" spans="1:22" ht="47.25" x14ac:dyDescent="0.2">
      <c r="A145" s="140">
        <f t="shared" si="65"/>
        <v>1</v>
      </c>
      <c r="B145" s="156" t="s">
        <v>374</v>
      </c>
      <c r="C145" s="150">
        <v>1</v>
      </c>
      <c r="D145" s="145" t="s">
        <v>82</v>
      </c>
      <c r="E145" s="145" t="s">
        <v>108</v>
      </c>
      <c r="F145" s="137" t="s">
        <v>101</v>
      </c>
      <c r="G145" s="137">
        <v>7878578</v>
      </c>
      <c r="H145" s="145"/>
      <c r="I145" s="137" t="s">
        <v>80</v>
      </c>
      <c r="J145" s="157" t="s">
        <v>112</v>
      </c>
      <c r="K145" s="210">
        <v>43514</v>
      </c>
      <c r="L145" s="210">
        <v>36400</v>
      </c>
      <c r="M145" s="210">
        <v>36400</v>
      </c>
      <c r="N145" s="210">
        <v>10922</v>
      </c>
      <c r="O145" s="210"/>
      <c r="P145" s="51">
        <f t="shared" si="71"/>
        <v>25000</v>
      </c>
      <c r="Q145" s="210"/>
      <c r="R145" s="213">
        <v>25000</v>
      </c>
      <c r="S145" s="51"/>
      <c r="T145" s="51"/>
      <c r="U145" s="51"/>
      <c r="V145" s="51"/>
    </row>
    <row r="146" spans="1:22" ht="78.75" x14ac:dyDescent="0.2">
      <c r="A146" s="140">
        <f t="shared" si="65"/>
        <v>2</v>
      </c>
      <c r="B146" s="149" t="s">
        <v>375</v>
      </c>
      <c r="C146" s="168">
        <v>1</v>
      </c>
      <c r="D146" s="137" t="s">
        <v>82</v>
      </c>
      <c r="E146" s="137" t="s">
        <v>106</v>
      </c>
      <c r="F146" s="137" t="s">
        <v>101</v>
      </c>
      <c r="G146" s="137">
        <v>7878579</v>
      </c>
      <c r="H146" s="137"/>
      <c r="I146" s="137" t="s">
        <v>80</v>
      </c>
      <c r="J146" s="137" t="s">
        <v>107</v>
      </c>
      <c r="K146" s="216">
        <v>17841</v>
      </c>
      <c r="L146" s="210">
        <v>14900</v>
      </c>
      <c r="M146" s="210">
        <v>14900</v>
      </c>
      <c r="N146" s="210">
        <v>8819</v>
      </c>
      <c r="O146" s="210"/>
      <c r="P146" s="51">
        <f t="shared" si="71"/>
        <v>6000</v>
      </c>
      <c r="Q146" s="210"/>
      <c r="R146" s="210">
        <v>6000</v>
      </c>
      <c r="S146" s="51"/>
      <c r="T146" s="51"/>
      <c r="U146" s="51"/>
      <c r="V146" s="51"/>
    </row>
    <row r="147" spans="1:22" ht="47.25" x14ac:dyDescent="0.2">
      <c r="A147" s="140">
        <f t="shared" si="65"/>
        <v>3</v>
      </c>
      <c r="B147" s="149" t="s">
        <v>376</v>
      </c>
      <c r="C147" s="150">
        <v>1</v>
      </c>
      <c r="D147" s="145" t="s">
        <v>82</v>
      </c>
      <c r="E147" s="145" t="s">
        <v>108</v>
      </c>
      <c r="F147" s="137" t="s">
        <v>101</v>
      </c>
      <c r="G147" s="137">
        <v>7843326</v>
      </c>
      <c r="H147" s="145"/>
      <c r="I147" s="137" t="s">
        <v>80</v>
      </c>
      <c r="J147" s="157" t="s">
        <v>250</v>
      </c>
      <c r="K147" s="210">
        <v>23338</v>
      </c>
      <c r="L147" s="210">
        <v>19700</v>
      </c>
      <c r="M147" s="210">
        <v>19700</v>
      </c>
      <c r="N147" s="210">
        <v>12000</v>
      </c>
      <c r="O147" s="210"/>
      <c r="P147" s="51">
        <f t="shared" si="71"/>
        <v>3500</v>
      </c>
      <c r="Q147" s="210"/>
      <c r="R147" s="210">
        <v>3500</v>
      </c>
      <c r="S147" s="51"/>
      <c r="T147" s="51"/>
      <c r="U147" s="51"/>
      <c r="V147" s="51"/>
    </row>
    <row r="148" spans="1:22" ht="78.75" x14ac:dyDescent="0.2">
      <c r="A148" s="140">
        <f t="shared" si="65"/>
        <v>4</v>
      </c>
      <c r="B148" s="149" t="s">
        <v>377</v>
      </c>
      <c r="C148" s="168">
        <v>1</v>
      </c>
      <c r="D148" s="137" t="s">
        <v>82</v>
      </c>
      <c r="E148" s="137" t="s">
        <v>106</v>
      </c>
      <c r="F148" s="137" t="s">
        <v>101</v>
      </c>
      <c r="G148" s="158">
        <v>7856558</v>
      </c>
      <c r="H148" s="137"/>
      <c r="I148" s="137" t="s">
        <v>967</v>
      </c>
      <c r="J148" s="137" t="s">
        <v>254</v>
      </c>
      <c r="K148" s="210">
        <v>27881</v>
      </c>
      <c r="L148" s="210">
        <v>22600</v>
      </c>
      <c r="M148" s="210">
        <v>22600</v>
      </c>
      <c r="N148" s="210">
        <v>20938</v>
      </c>
      <c r="O148" s="210"/>
      <c r="P148" s="51">
        <f t="shared" si="71"/>
        <v>600</v>
      </c>
      <c r="Q148" s="210"/>
      <c r="R148" s="210">
        <v>600</v>
      </c>
      <c r="S148" s="51"/>
      <c r="T148" s="51"/>
      <c r="U148" s="51"/>
      <c r="V148" s="51"/>
    </row>
    <row r="149" spans="1:22" ht="47.25" x14ac:dyDescent="0.2">
      <c r="A149" s="140">
        <f t="shared" si="65"/>
        <v>5</v>
      </c>
      <c r="B149" s="149" t="s">
        <v>378</v>
      </c>
      <c r="C149" s="150">
        <v>1</v>
      </c>
      <c r="D149" s="145" t="s">
        <v>82</v>
      </c>
      <c r="E149" s="145" t="s">
        <v>108</v>
      </c>
      <c r="F149" s="137" t="s">
        <v>101</v>
      </c>
      <c r="G149" s="137">
        <v>7919399</v>
      </c>
      <c r="H149" s="145"/>
      <c r="I149" s="137" t="s">
        <v>80</v>
      </c>
      <c r="J149" s="157" t="s">
        <v>114</v>
      </c>
      <c r="K149" s="210">
        <v>31009</v>
      </c>
      <c r="L149" s="210">
        <v>19900</v>
      </c>
      <c r="M149" s="210">
        <v>19900</v>
      </c>
      <c r="N149" s="210">
        <v>3036</v>
      </c>
      <c r="O149" s="210"/>
      <c r="P149" s="51">
        <f t="shared" si="71"/>
        <v>16300</v>
      </c>
      <c r="Q149" s="210"/>
      <c r="R149" s="210">
        <v>16300</v>
      </c>
      <c r="S149" s="51"/>
      <c r="T149" s="51"/>
      <c r="U149" s="51"/>
      <c r="V149" s="51"/>
    </row>
    <row r="150" spans="1:22" ht="47.25" x14ac:dyDescent="0.2">
      <c r="A150" s="140">
        <f t="shared" si="65"/>
        <v>6</v>
      </c>
      <c r="B150" s="149" t="s">
        <v>379</v>
      </c>
      <c r="C150" s="150">
        <v>1</v>
      </c>
      <c r="D150" s="145" t="s">
        <v>82</v>
      </c>
      <c r="E150" s="145" t="s">
        <v>108</v>
      </c>
      <c r="F150" s="137" t="s">
        <v>101</v>
      </c>
      <c r="G150" s="137">
        <v>7918962</v>
      </c>
      <c r="H150" s="145"/>
      <c r="I150" s="137" t="s">
        <v>80</v>
      </c>
      <c r="J150" s="157" t="s">
        <v>113</v>
      </c>
      <c r="K150" s="210">
        <v>40226</v>
      </c>
      <c r="L150" s="210">
        <v>28963</v>
      </c>
      <c r="M150" s="210">
        <v>28963</v>
      </c>
      <c r="N150" s="210">
        <v>4463</v>
      </c>
      <c r="O150" s="210"/>
      <c r="P150" s="51">
        <f t="shared" si="71"/>
        <v>24500</v>
      </c>
      <c r="Q150" s="210"/>
      <c r="R150" s="210">
        <v>24500</v>
      </c>
      <c r="S150" s="51"/>
      <c r="T150" s="51"/>
      <c r="U150" s="51"/>
      <c r="V150" s="51"/>
    </row>
    <row r="151" spans="1:22" ht="47.25" x14ac:dyDescent="0.2">
      <c r="A151" s="140">
        <f t="shared" si="65"/>
        <v>7</v>
      </c>
      <c r="B151" s="149" t="s">
        <v>380</v>
      </c>
      <c r="C151" s="150">
        <v>1</v>
      </c>
      <c r="D151" s="145" t="s">
        <v>82</v>
      </c>
      <c r="E151" s="145" t="s">
        <v>108</v>
      </c>
      <c r="F151" s="137" t="s">
        <v>101</v>
      </c>
      <c r="G151" s="137">
        <v>7918961</v>
      </c>
      <c r="H151" s="145"/>
      <c r="I151" s="137" t="s">
        <v>80</v>
      </c>
      <c r="J151" s="157" t="s">
        <v>111</v>
      </c>
      <c r="K151" s="210">
        <v>40036</v>
      </c>
      <c r="L151" s="210">
        <v>26500</v>
      </c>
      <c r="M151" s="210">
        <v>26500</v>
      </c>
      <c r="N151" s="210">
        <v>7600</v>
      </c>
      <c r="O151" s="210"/>
      <c r="P151" s="51">
        <f t="shared" si="71"/>
        <v>16700</v>
      </c>
      <c r="Q151" s="210"/>
      <c r="R151" s="210">
        <v>16700</v>
      </c>
      <c r="S151" s="51"/>
      <c r="T151" s="51"/>
      <c r="U151" s="51"/>
      <c r="V151" s="51"/>
    </row>
    <row r="152" spans="1:22" ht="47.25" x14ac:dyDescent="0.2">
      <c r="A152" s="140">
        <f t="shared" si="65"/>
        <v>8</v>
      </c>
      <c r="B152" s="156" t="s">
        <v>381</v>
      </c>
      <c r="C152" s="150">
        <v>1</v>
      </c>
      <c r="D152" s="145" t="s">
        <v>82</v>
      </c>
      <c r="E152" s="145" t="s">
        <v>108</v>
      </c>
      <c r="F152" s="137" t="s">
        <v>101</v>
      </c>
      <c r="G152" s="159" t="s">
        <v>109</v>
      </c>
      <c r="H152" s="145"/>
      <c r="I152" s="157" t="s">
        <v>80</v>
      </c>
      <c r="J152" s="157" t="s">
        <v>110</v>
      </c>
      <c r="K152" s="223">
        <v>44930.175999999999</v>
      </c>
      <c r="L152" s="210">
        <v>30400</v>
      </c>
      <c r="M152" s="210">
        <v>30400</v>
      </c>
      <c r="N152" s="210">
        <v>18907</v>
      </c>
      <c r="O152" s="210"/>
      <c r="P152" s="51">
        <f t="shared" si="71"/>
        <v>11400</v>
      </c>
      <c r="Q152" s="210"/>
      <c r="R152" s="210">
        <v>11400</v>
      </c>
      <c r="S152" s="51"/>
      <c r="T152" s="51"/>
      <c r="U152" s="51"/>
      <c r="V152" s="51"/>
    </row>
    <row r="153" spans="1:22" x14ac:dyDescent="0.2">
      <c r="A153" s="140"/>
      <c r="B153" s="139" t="s">
        <v>382</v>
      </c>
      <c r="C153" s="167">
        <f>SUM(C154)</f>
        <v>1</v>
      </c>
      <c r="D153" s="137"/>
      <c r="E153" s="137"/>
      <c r="F153" s="137"/>
      <c r="G153" s="137"/>
      <c r="H153" s="137"/>
      <c r="I153" s="137"/>
      <c r="J153" s="137"/>
      <c r="K153" s="208">
        <f>SUM(K154)</f>
        <v>51459</v>
      </c>
      <c r="L153" s="208">
        <f t="shared" ref="L153:R153" si="75">SUM(L154)</f>
        <v>29400</v>
      </c>
      <c r="M153" s="208">
        <f t="shared" si="75"/>
        <v>29400</v>
      </c>
      <c r="N153" s="208">
        <f t="shared" si="75"/>
        <v>10900</v>
      </c>
      <c r="O153" s="208"/>
      <c r="P153" s="51">
        <f t="shared" si="71"/>
        <v>18500</v>
      </c>
      <c r="Q153" s="208">
        <f t="shared" si="75"/>
        <v>0</v>
      </c>
      <c r="R153" s="208">
        <f t="shared" si="75"/>
        <v>18500</v>
      </c>
      <c r="S153" s="51"/>
      <c r="T153" s="51"/>
      <c r="U153" s="51"/>
      <c r="V153" s="51"/>
    </row>
    <row r="154" spans="1:22" ht="157.5" customHeight="1" x14ac:dyDescent="0.2">
      <c r="A154" s="140">
        <f t="shared" si="65"/>
        <v>1</v>
      </c>
      <c r="B154" s="141" t="s">
        <v>383</v>
      </c>
      <c r="C154" s="150">
        <v>1</v>
      </c>
      <c r="D154" s="137" t="s">
        <v>192</v>
      </c>
      <c r="E154" s="137" t="s">
        <v>384</v>
      </c>
      <c r="F154" s="137" t="s">
        <v>193</v>
      </c>
      <c r="G154" s="137">
        <v>7733568</v>
      </c>
      <c r="H154" s="137" t="s">
        <v>385</v>
      </c>
      <c r="I154" s="160" t="s">
        <v>80</v>
      </c>
      <c r="J154" s="137" t="s">
        <v>386</v>
      </c>
      <c r="K154" s="216">
        <v>51459</v>
      </c>
      <c r="L154" s="210">
        <v>29400</v>
      </c>
      <c r="M154" s="216">
        <f>18500+10900</f>
        <v>29400</v>
      </c>
      <c r="N154" s="210">
        <v>10900</v>
      </c>
      <c r="O154" s="210"/>
      <c r="P154" s="51">
        <f t="shared" si="71"/>
        <v>18500</v>
      </c>
      <c r="Q154" s="210"/>
      <c r="R154" s="216">
        <v>18500</v>
      </c>
      <c r="S154" s="51"/>
      <c r="T154" s="51"/>
      <c r="U154" s="51"/>
      <c r="V154" s="51"/>
    </row>
    <row r="155" spans="1:22" x14ac:dyDescent="0.2">
      <c r="A155" s="140"/>
      <c r="B155" s="139" t="s">
        <v>387</v>
      </c>
      <c r="C155" s="167">
        <f>SUM(C156:C159)</f>
        <v>4</v>
      </c>
      <c r="D155" s="137"/>
      <c r="E155" s="137"/>
      <c r="F155" s="137"/>
      <c r="G155" s="137"/>
      <c r="H155" s="137"/>
      <c r="I155" s="137"/>
      <c r="J155" s="137"/>
      <c r="K155" s="208">
        <f>SUM(K156:K159)</f>
        <v>109365</v>
      </c>
      <c r="L155" s="208">
        <f t="shared" ref="L155:R155" si="76">SUM(L156:L159)</f>
        <v>85521.483000000007</v>
      </c>
      <c r="M155" s="208">
        <f t="shared" si="76"/>
        <v>85521.483000000007</v>
      </c>
      <c r="N155" s="208">
        <f t="shared" si="76"/>
        <v>67991</v>
      </c>
      <c r="O155" s="208"/>
      <c r="P155" s="51">
        <f t="shared" si="71"/>
        <v>15348</v>
      </c>
      <c r="Q155" s="208">
        <f t="shared" si="76"/>
        <v>0</v>
      </c>
      <c r="R155" s="208">
        <f t="shared" si="76"/>
        <v>15348</v>
      </c>
      <c r="S155" s="51"/>
      <c r="T155" s="51"/>
      <c r="U155" s="51"/>
      <c r="V155" s="51"/>
    </row>
    <row r="156" spans="1:22" ht="63" x14ac:dyDescent="0.2">
      <c r="A156" s="140">
        <f t="shared" si="65"/>
        <v>1</v>
      </c>
      <c r="B156" s="141" t="s">
        <v>388</v>
      </c>
      <c r="C156" s="150">
        <v>1</v>
      </c>
      <c r="D156" s="145" t="s">
        <v>155</v>
      </c>
      <c r="E156" s="145" t="s">
        <v>156</v>
      </c>
      <c r="F156" s="137" t="s">
        <v>157</v>
      </c>
      <c r="G156" s="145">
        <v>7879286</v>
      </c>
      <c r="H156" s="145" t="s">
        <v>159</v>
      </c>
      <c r="I156" s="148" t="s">
        <v>80</v>
      </c>
      <c r="J156" s="137" t="s">
        <v>163</v>
      </c>
      <c r="K156" s="224">
        <v>21309</v>
      </c>
      <c r="L156" s="210">
        <v>15601</v>
      </c>
      <c r="M156" s="210">
        <v>15601</v>
      </c>
      <c r="N156" s="210">
        <v>15300</v>
      </c>
      <c r="O156" s="210"/>
      <c r="P156" s="51">
        <f t="shared" si="71"/>
        <v>301</v>
      </c>
      <c r="Q156" s="210"/>
      <c r="R156" s="210">
        <v>301</v>
      </c>
      <c r="S156" s="51"/>
      <c r="T156" s="51"/>
      <c r="U156" s="51"/>
      <c r="V156" s="51"/>
    </row>
    <row r="157" spans="1:22" ht="47.25" x14ac:dyDescent="0.2">
      <c r="A157" s="140">
        <f t="shared" si="65"/>
        <v>2</v>
      </c>
      <c r="B157" s="141" t="s">
        <v>389</v>
      </c>
      <c r="C157" s="150">
        <v>1</v>
      </c>
      <c r="D157" s="145" t="s">
        <v>155</v>
      </c>
      <c r="E157" s="145" t="s">
        <v>156</v>
      </c>
      <c r="F157" s="137" t="s">
        <v>157</v>
      </c>
      <c r="G157" s="145">
        <v>7941109</v>
      </c>
      <c r="H157" s="145" t="s">
        <v>158</v>
      </c>
      <c r="I157" s="148" t="s">
        <v>80</v>
      </c>
      <c r="J157" s="137" t="s">
        <v>162</v>
      </c>
      <c r="K157" s="224">
        <v>23502</v>
      </c>
      <c r="L157" s="210">
        <v>18590.483</v>
      </c>
      <c r="M157" s="210">
        <v>18590.483</v>
      </c>
      <c r="N157" s="210">
        <v>15300</v>
      </c>
      <c r="O157" s="210"/>
      <c r="P157" s="51">
        <f t="shared" si="71"/>
        <v>1350</v>
      </c>
      <c r="Q157" s="210"/>
      <c r="R157" s="210">
        <v>1350</v>
      </c>
      <c r="S157" s="51"/>
      <c r="T157" s="51"/>
      <c r="U157" s="51"/>
      <c r="V157" s="51"/>
    </row>
    <row r="158" spans="1:22" ht="47.25" x14ac:dyDescent="0.2">
      <c r="A158" s="140">
        <f t="shared" si="65"/>
        <v>3</v>
      </c>
      <c r="B158" s="141" t="s">
        <v>390</v>
      </c>
      <c r="C158" s="150">
        <v>1</v>
      </c>
      <c r="D158" s="145" t="s">
        <v>155</v>
      </c>
      <c r="E158" s="145" t="s">
        <v>156</v>
      </c>
      <c r="F158" s="137" t="s">
        <v>157</v>
      </c>
      <c r="G158" s="145">
        <v>7879290</v>
      </c>
      <c r="H158" s="145" t="s">
        <v>160</v>
      </c>
      <c r="I158" s="148" t="s">
        <v>80</v>
      </c>
      <c r="J158" s="137" t="s">
        <v>164</v>
      </c>
      <c r="K158" s="224">
        <v>26327</v>
      </c>
      <c r="L158" s="210">
        <v>20600</v>
      </c>
      <c r="M158" s="210">
        <v>20600</v>
      </c>
      <c r="N158" s="210">
        <v>19391</v>
      </c>
      <c r="O158" s="210"/>
      <c r="P158" s="51">
        <f t="shared" si="71"/>
        <v>1209</v>
      </c>
      <c r="Q158" s="210"/>
      <c r="R158" s="210">
        <v>1209</v>
      </c>
      <c r="S158" s="51"/>
      <c r="T158" s="51"/>
      <c r="U158" s="51"/>
      <c r="V158" s="51"/>
    </row>
    <row r="159" spans="1:22" ht="47.25" x14ac:dyDescent="0.2">
      <c r="A159" s="140">
        <f t="shared" si="65"/>
        <v>4</v>
      </c>
      <c r="B159" s="141" t="s">
        <v>391</v>
      </c>
      <c r="C159" s="150">
        <v>1</v>
      </c>
      <c r="D159" s="145" t="s">
        <v>155</v>
      </c>
      <c r="E159" s="145" t="s">
        <v>156</v>
      </c>
      <c r="F159" s="137" t="s">
        <v>157</v>
      </c>
      <c r="G159" s="145">
        <v>7879289</v>
      </c>
      <c r="H159" s="145" t="s">
        <v>161</v>
      </c>
      <c r="I159" s="148" t="s">
        <v>80</v>
      </c>
      <c r="J159" s="137" t="s">
        <v>165</v>
      </c>
      <c r="K159" s="224">
        <v>38227</v>
      </c>
      <c r="L159" s="210">
        <v>30730</v>
      </c>
      <c r="M159" s="210">
        <v>30730</v>
      </c>
      <c r="N159" s="210">
        <v>18000</v>
      </c>
      <c r="O159" s="210"/>
      <c r="P159" s="51">
        <f t="shared" si="71"/>
        <v>12488</v>
      </c>
      <c r="Q159" s="210"/>
      <c r="R159" s="210">
        <v>12488</v>
      </c>
      <c r="S159" s="51"/>
      <c r="T159" s="51"/>
      <c r="U159" s="51"/>
      <c r="V159" s="51"/>
    </row>
    <row r="160" spans="1:22" x14ac:dyDescent="0.2">
      <c r="A160" s="140"/>
      <c r="B160" s="139" t="s">
        <v>392</v>
      </c>
      <c r="C160" s="167">
        <f>SUM(C161:C168)</f>
        <v>8</v>
      </c>
      <c r="D160" s="137"/>
      <c r="E160" s="137"/>
      <c r="F160" s="137"/>
      <c r="G160" s="137"/>
      <c r="H160" s="137"/>
      <c r="I160" s="137"/>
      <c r="J160" s="137"/>
      <c r="K160" s="208">
        <f>SUM(K161:K168)</f>
        <v>204797</v>
      </c>
      <c r="L160" s="208">
        <f t="shared" ref="L160:R160" si="77">SUM(L161:L168)</f>
        <v>153400</v>
      </c>
      <c r="M160" s="208">
        <f t="shared" si="77"/>
        <v>153400</v>
      </c>
      <c r="N160" s="208">
        <f t="shared" si="77"/>
        <v>117400</v>
      </c>
      <c r="O160" s="208"/>
      <c r="P160" s="51">
        <f t="shared" si="71"/>
        <v>36000</v>
      </c>
      <c r="Q160" s="208">
        <f t="shared" si="77"/>
        <v>0</v>
      </c>
      <c r="R160" s="208">
        <f t="shared" si="77"/>
        <v>36000</v>
      </c>
      <c r="S160" s="51"/>
      <c r="T160" s="51"/>
      <c r="U160" s="51"/>
      <c r="V160" s="51"/>
    </row>
    <row r="161" spans="1:22" ht="63" x14ac:dyDescent="0.2">
      <c r="A161" s="140">
        <f t="shared" si="65"/>
        <v>1</v>
      </c>
      <c r="B161" s="295" t="s">
        <v>393</v>
      </c>
      <c r="C161" s="168">
        <v>1</v>
      </c>
      <c r="D161" s="137" t="s">
        <v>166</v>
      </c>
      <c r="E161" s="137" t="s">
        <v>167</v>
      </c>
      <c r="F161" s="137" t="s">
        <v>168</v>
      </c>
      <c r="G161" s="137">
        <v>7854525</v>
      </c>
      <c r="H161" s="154"/>
      <c r="I161" s="137" t="s">
        <v>80</v>
      </c>
      <c r="J161" s="137" t="s">
        <v>169</v>
      </c>
      <c r="K161" s="211">
        <v>27680</v>
      </c>
      <c r="L161" s="210">
        <v>20800</v>
      </c>
      <c r="M161" s="210">
        <v>20800</v>
      </c>
      <c r="N161" s="210">
        <v>19300</v>
      </c>
      <c r="O161" s="210"/>
      <c r="P161" s="51">
        <f t="shared" si="71"/>
        <v>1500</v>
      </c>
      <c r="Q161" s="210"/>
      <c r="R161" s="216">
        <v>1500</v>
      </c>
      <c r="S161" s="51"/>
      <c r="T161" s="51"/>
      <c r="U161" s="51"/>
      <c r="V161" s="51"/>
    </row>
    <row r="162" spans="1:22" ht="63" x14ac:dyDescent="0.2">
      <c r="A162" s="140">
        <f t="shared" si="65"/>
        <v>2</v>
      </c>
      <c r="B162" s="295" t="s">
        <v>394</v>
      </c>
      <c r="C162" s="168">
        <v>1</v>
      </c>
      <c r="D162" s="137" t="s">
        <v>166</v>
      </c>
      <c r="E162" s="137" t="s">
        <v>167</v>
      </c>
      <c r="F162" s="137" t="s">
        <v>168</v>
      </c>
      <c r="G162" s="137">
        <v>7801863</v>
      </c>
      <c r="H162" s="154"/>
      <c r="I162" s="137" t="s">
        <v>967</v>
      </c>
      <c r="J162" s="137" t="s">
        <v>170</v>
      </c>
      <c r="K162" s="211">
        <v>24306</v>
      </c>
      <c r="L162" s="210">
        <v>20400</v>
      </c>
      <c r="M162" s="210">
        <v>20400</v>
      </c>
      <c r="N162" s="210">
        <v>19000</v>
      </c>
      <c r="O162" s="210"/>
      <c r="P162" s="51">
        <f t="shared" si="71"/>
        <v>1400</v>
      </c>
      <c r="Q162" s="210"/>
      <c r="R162" s="216">
        <v>1400</v>
      </c>
      <c r="S162" s="51"/>
      <c r="T162" s="51"/>
      <c r="U162" s="51"/>
      <c r="V162" s="51"/>
    </row>
    <row r="163" spans="1:22" ht="63" x14ac:dyDescent="0.2">
      <c r="A163" s="140">
        <f t="shared" si="65"/>
        <v>3</v>
      </c>
      <c r="B163" s="149" t="s">
        <v>395</v>
      </c>
      <c r="C163" s="168">
        <v>1</v>
      </c>
      <c r="D163" s="137" t="s">
        <v>166</v>
      </c>
      <c r="E163" s="137" t="s">
        <v>167</v>
      </c>
      <c r="F163" s="137" t="s">
        <v>168</v>
      </c>
      <c r="G163" s="137">
        <v>7854495</v>
      </c>
      <c r="H163" s="154"/>
      <c r="I163" s="137" t="s">
        <v>80</v>
      </c>
      <c r="J163" s="137" t="s">
        <v>171</v>
      </c>
      <c r="K163" s="211">
        <v>28906</v>
      </c>
      <c r="L163" s="210">
        <v>20500</v>
      </c>
      <c r="M163" s="210">
        <v>20500</v>
      </c>
      <c r="N163" s="210">
        <v>18500</v>
      </c>
      <c r="O163" s="210"/>
      <c r="P163" s="51">
        <f t="shared" si="71"/>
        <v>2000</v>
      </c>
      <c r="Q163" s="210"/>
      <c r="R163" s="225">
        <v>2000</v>
      </c>
      <c r="S163" s="51"/>
      <c r="T163" s="51"/>
      <c r="U163" s="51"/>
      <c r="V163" s="51"/>
    </row>
    <row r="164" spans="1:22" ht="47.25" x14ac:dyDescent="0.2">
      <c r="A164" s="140">
        <f t="shared" si="65"/>
        <v>4</v>
      </c>
      <c r="B164" s="149" t="s">
        <v>396</v>
      </c>
      <c r="C164" s="150">
        <v>1</v>
      </c>
      <c r="D164" s="137" t="s">
        <v>166</v>
      </c>
      <c r="E164" s="145" t="s">
        <v>173</v>
      </c>
      <c r="F164" s="137" t="s">
        <v>174</v>
      </c>
      <c r="G164" s="145">
        <v>7937322</v>
      </c>
      <c r="H164" s="145" t="s">
        <v>178</v>
      </c>
      <c r="I164" s="296" t="s">
        <v>970</v>
      </c>
      <c r="J164" s="296" t="s">
        <v>261</v>
      </c>
      <c r="K164" s="211">
        <v>25926</v>
      </c>
      <c r="L164" s="210">
        <v>20200</v>
      </c>
      <c r="M164" s="210">
        <v>20200</v>
      </c>
      <c r="N164" s="210">
        <v>10900</v>
      </c>
      <c r="O164" s="210"/>
      <c r="P164" s="51">
        <f t="shared" si="71"/>
        <v>9300</v>
      </c>
      <c r="Q164" s="210"/>
      <c r="R164" s="225">
        <v>9300</v>
      </c>
      <c r="S164" s="51"/>
      <c r="T164" s="51"/>
      <c r="U164" s="51"/>
      <c r="V164" s="51"/>
    </row>
    <row r="165" spans="1:22" ht="63" x14ac:dyDescent="0.2">
      <c r="A165" s="140">
        <f t="shared" si="65"/>
        <v>5</v>
      </c>
      <c r="B165" s="149" t="s">
        <v>397</v>
      </c>
      <c r="C165" s="168">
        <v>1</v>
      </c>
      <c r="D165" s="137" t="s">
        <v>166</v>
      </c>
      <c r="E165" s="137" t="s">
        <v>167</v>
      </c>
      <c r="F165" s="137" t="s">
        <v>168</v>
      </c>
      <c r="G165" s="137">
        <v>7877579</v>
      </c>
      <c r="H165" s="154"/>
      <c r="I165" s="137" t="s">
        <v>80</v>
      </c>
      <c r="J165" s="137" t="s">
        <v>172</v>
      </c>
      <c r="K165" s="211">
        <v>33937</v>
      </c>
      <c r="L165" s="210">
        <v>28000</v>
      </c>
      <c r="M165" s="210">
        <v>28000</v>
      </c>
      <c r="N165" s="210">
        <v>24000</v>
      </c>
      <c r="O165" s="210"/>
      <c r="P165" s="51">
        <f t="shared" si="71"/>
        <v>4000</v>
      </c>
      <c r="Q165" s="210"/>
      <c r="R165" s="225">
        <v>4000</v>
      </c>
      <c r="S165" s="51"/>
      <c r="T165" s="51"/>
      <c r="U165" s="51"/>
      <c r="V165" s="51"/>
    </row>
    <row r="166" spans="1:22" ht="47.25" x14ac:dyDescent="0.2">
      <c r="A166" s="140">
        <f t="shared" si="65"/>
        <v>6</v>
      </c>
      <c r="B166" s="149" t="s">
        <v>398</v>
      </c>
      <c r="C166" s="150">
        <v>1</v>
      </c>
      <c r="D166" s="137" t="s">
        <v>166</v>
      </c>
      <c r="E166" s="145" t="s">
        <v>173</v>
      </c>
      <c r="F166" s="137" t="s">
        <v>174</v>
      </c>
      <c r="G166" s="145">
        <v>7941752</v>
      </c>
      <c r="H166" s="145" t="s">
        <v>175</v>
      </c>
      <c r="I166" s="296" t="s">
        <v>176</v>
      </c>
      <c r="J166" s="296" t="s">
        <v>263</v>
      </c>
      <c r="K166" s="226">
        <v>9776</v>
      </c>
      <c r="L166" s="210">
        <v>8200</v>
      </c>
      <c r="M166" s="210">
        <v>8200</v>
      </c>
      <c r="N166" s="210">
        <v>5400</v>
      </c>
      <c r="O166" s="210"/>
      <c r="P166" s="51">
        <f t="shared" si="71"/>
        <v>2800</v>
      </c>
      <c r="Q166" s="210"/>
      <c r="R166" s="225">
        <v>2800</v>
      </c>
      <c r="S166" s="51"/>
      <c r="T166" s="51"/>
      <c r="U166" s="51"/>
      <c r="V166" s="51"/>
    </row>
    <row r="167" spans="1:22" ht="47.25" x14ac:dyDescent="0.2">
      <c r="A167" s="140">
        <f t="shared" si="65"/>
        <v>7</v>
      </c>
      <c r="B167" s="149" t="s">
        <v>399</v>
      </c>
      <c r="C167" s="150">
        <v>1</v>
      </c>
      <c r="D167" s="137" t="s">
        <v>166</v>
      </c>
      <c r="E167" s="145" t="s">
        <v>173</v>
      </c>
      <c r="F167" s="137" t="s">
        <v>174</v>
      </c>
      <c r="G167" s="145">
        <v>7941753</v>
      </c>
      <c r="H167" s="145" t="s">
        <v>177</v>
      </c>
      <c r="I167" s="296" t="s">
        <v>176</v>
      </c>
      <c r="J167" s="296" t="s">
        <v>264</v>
      </c>
      <c r="K167" s="226">
        <v>12375</v>
      </c>
      <c r="L167" s="210">
        <v>8700</v>
      </c>
      <c r="M167" s="210">
        <v>8700</v>
      </c>
      <c r="N167" s="210">
        <v>4300</v>
      </c>
      <c r="O167" s="210"/>
      <c r="P167" s="51">
        <f t="shared" si="71"/>
        <v>4400</v>
      </c>
      <c r="Q167" s="210"/>
      <c r="R167" s="225">
        <v>4400</v>
      </c>
      <c r="S167" s="51"/>
      <c r="T167" s="51"/>
      <c r="U167" s="51"/>
      <c r="V167" s="51"/>
    </row>
    <row r="168" spans="1:22" ht="47.25" x14ac:dyDescent="0.2">
      <c r="A168" s="140">
        <f t="shared" si="65"/>
        <v>8</v>
      </c>
      <c r="B168" s="149" t="s">
        <v>400</v>
      </c>
      <c r="C168" s="150">
        <v>1</v>
      </c>
      <c r="D168" s="137" t="s">
        <v>166</v>
      </c>
      <c r="E168" s="145" t="s">
        <v>173</v>
      </c>
      <c r="F168" s="137" t="s">
        <v>174</v>
      </c>
      <c r="G168" s="145">
        <v>7941754</v>
      </c>
      <c r="H168" s="145" t="s">
        <v>179</v>
      </c>
      <c r="I168" s="296" t="s">
        <v>176</v>
      </c>
      <c r="J168" s="296" t="s">
        <v>262</v>
      </c>
      <c r="K168" s="226">
        <v>41891</v>
      </c>
      <c r="L168" s="210">
        <v>26600</v>
      </c>
      <c r="M168" s="210">
        <v>26600</v>
      </c>
      <c r="N168" s="210">
        <v>16000</v>
      </c>
      <c r="O168" s="210"/>
      <c r="P168" s="51">
        <f t="shared" si="71"/>
        <v>10600</v>
      </c>
      <c r="Q168" s="210"/>
      <c r="R168" s="225">
        <f t="shared" ref="R168" si="78">8600+2000</f>
        <v>10600</v>
      </c>
      <c r="S168" s="51"/>
      <c r="T168" s="51"/>
      <c r="U168" s="51"/>
      <c r="V168" s="51"/>
    </row>
    <row r="169" spans="1:22" x14ac:dyDescent="0.2">
      <c r="A169" s="140"/>
      <c r="B169" s="139" t="s">
        <v>317</v>
      </c>
      <c r="C169" s="167">
        <f t="shared" ref="C169" si="79">SUM(C170:C172)</f>
        <v>3</v>
      </c>
      <c r="D169" s="137"/>
      <c r="E169" s="137"/>
      <c r="F169" s="137"/>
      <c r="G169" s="137"/>
      <c r="H169" s="137"/>
      <c r="I169" s="137"/>
      <c r="J169" s="137"/>
      <c r="K169" s="208">
        <f t="shared" ref="K169:R169" si="80">SUM(K170:K172)</f>
        <v>70542</v>
      </c>
      <c r="L169" s="208">
        <f t="shared" si="80"/>
        <v>63371</v>
      </c>
      <c r="M169" s="208">
        <f t="shared" si="80"/>
        <v>63371</v>
      </c>
      <c r="N169" s="208">
        <f t="shared" si="80"/>
        <v>37171</v>
      </c>
      <c r="O169" s="208"/>
      <c r="P169" s="51">
        <f t="shared" si="71"/>
        <v>25200</v>
      </c>
      <c r="Q169" s="208">
        <f t="shared" si="80"/>
        <v>0</v>
      </c>
      <c r="R169" s="208">
        <f t="shared" si="80"/>
        <v>25200</v>
      </c>
      <c r="S169" s="51"/>
      <c r="T169" s="51"/>
      <c r="U169" s="51"/>
      <c r="V169" s="51"/>
    </row>
    <row r="170" spans="1:22" ht="63" x14ac:dyDescent="0.2">
      <c r="A170" s="140">
        <f t="shared" si="65"/>
        <v>1</v>
      </c>
      <c r="B170" s="141" t="s">
        <v>401</v>
      </c>
      <c r="C170" s="150">
        <v>1</v>
      </c>
      <c r="D170" s="145" t="s">
        <v>94</v>
      </c>
      <c r="E170" s="145" t="s">
        <v>116</v>
      </c>
      <c r="F170" s="137" t="s">
        <v>115</v>
      </c>
      <c r="G170" s="145">
        <v>7918525</v>
      </c>
      <c r="H170" s="145" t="s">
        <v>119</v>
      </c>
      <c r="I170" s="148" t="s">
        <v>80</v>
      </c>
      <c r="J170" s="148" t="s">
        <v>402</v>
      </c>
      <c r="K170" s="215">
        <v>15990</v>
      </c>
      <c r="L170" s="210">
        <v>15000</v>
      </c>
      <c r="M170" s="210">
        <v>15000</v>
      </c>
      <c r="N170" s="210">
        <v>11000</v>
      </c>
      <c r="O170" s="210"/>
      <c r="P170" s="51">
        <f t="shared" si="71"/>
        <v>4000</v>
      </c>
      <c r="Q170" s="210"/>
      <c r="R170" s="213">
        <v>4000</v>
      </c>
      <c r="S170" s="51"/>
      <c r="T170" s="51"/>
      <c r="U170" s="51"/>
      <c r="V170" s="51"/>
    </row>
    <row r="171" spans="1:22" ht="80.25" customHeight="1" x14ac:dyDescent="0.2">
      <c r="A171" s="140">
        <f>A91+1</f>
        <v>2</v>
      </c>
      <c r="B171" s="141" t="s">
        <v>403</v>
      </c>
      <c r="C171" s="150">
        <v>1</v>
      </c>
      <c r="D171" s="145" t="s">
        <v>94</v>
      </c>
      <c r="E171" s="145" t="s">
        <v>116</v>
      </c>
      <c r="F171" s="137" t="s">
        <v>115</v>
      </c>
      <c r="G171" s="145">
        <v>7492885</v>
      </c>
      <c r="H171" s="145" t="s">
        <v>118</v>
      </c>
      <c r="I171" s="148" t="s">
        <v>80</v>
      </c>
      <c r="J171" s="148" t="s">
        <v>404</v>
      </c>
      <c r="K171" s="215">
        <v>13326</v>
      </c>
      <c r="L171" s="210">
        <v>13000</v>
      </c>
      <c r="M171" s="210">
        <v>13000</v>
      </c>
      <c r="N171" s="210">
        <v>9800</v>
      </c>
      <c r="O171" s="210"/>
      <c r="P171" s="51">
        <f t="shared" si="71"/>
        <v>3200</v>
      </c>
      <c r="Q171" s="210"/>
      <c r="R171" s="210">
        <v>3200</v>
      </c>
      <c r="S171" s="51"/>
      <c r="T171" s="51"/>
      <c r="U171" s="51"/>
      <c r="V171" s="51"/>
    </row>
    <row r="172" spans="1:22" ht="94.5" x14ac:dyDescent="0.2">
      <c r="A172" s="140">
        <f t="shared" si="65"/>
        <v>3</v>
      </c>
      <c r="B172" s="141" t="s">
        <v>405</v>
      </c>
      <c r="C172" s="150">
        <v>1</v>
      </c>
      <c r="D172" s="145" t="s">
        <v>94</v>
      </c>
      <c r="E172" s="145" t="s">
        <v>116</v>
      </c>
      <c r="F172" s="137" t="s">
        <v>115</v>
      </c>
      <c r="G172" s="145">
        <v>7918524</v>
      </c>
      <c r="H172" s="145" t="s">
        <v>120</v>
      </c>
      <c r="I172" s="148" t="s">
        <v>80</v>
      </c>
      <c r="J172" s="148" t="s">
        <v>406</v>
      </c>
      <c r="K172" s="216">
        <v>41226</v>
      </c>
      <c r="L172" s="210">
        <v>35371</v>
      </c>
      <c r="M172" s="210">
        <v>35371</v>
      </c>
      <c r="N172" s="210">
        <v>16371</v>
      </c>
      <c r="O172" s="210"/>
      <c r="P172" s="51">
        <f t="shared" si="71"/>
        <v>18000</v>
      </c>
      <c r="Q172" s="210"/>
      <c r="R172" s="210">
        <v>18000</v>
      </c>
      <c r="S172" s="51"/>
      <c r="T172" s="51"/>
      <c r="U172" s="51"/>
      <c r="V172" s="51"/>
    </row>
    <row r="173" spans="1:22" ht="31.5" x14ac:dyDescent="0.2">
      <c r="A173" s="135" t="s">
        <v>104</v>
      </c>
      <c r="B173" s="151" t="s">
        <v>285</v>
      </c>
      <c r="C173" s="166">
        <f>C174</f>
        <v>1</v>
      </c>
      <c r="D173" s="152"/>
      <c r="E173" s="152"/>
      <c r="F173" s="152"/>
      <c r="G173" s="152"/>
      <c r="H173" s="152"/>
      <c r="I173" s="152"/>
      <c r="J173" s="152"/>
      <c r="K173" s="207">
        <f>K174</f>
        <v>52305</v>
      </c>
      <c r="L173" s="207">
        <f t="shared" ref="L173:R175" si="81">L174</f>
        <v>39000</v>
      </c>
      <c r="M173" s="207">
        <f t="shared" si="81"/>
        <v>39000</v>
      </c>
      <c r="N173" s="207">
        <f t="shared" si="81"/>
        <v>20000</v>
      </c>
      <c r="O173" s="207"/>
      <c r="P173" s="51">
        <f t="shared" si="71"/>
        <v>16571</v>
      </c>
      <c r="Q173" s="207">
        <f t="shared" si="81"/>
        <v>0</v>
      </c>
      <c r="R173" s="207">
        <f t="shared" si="81"/>
        <v>16571</v>
      </c>
      <c r="S173" s="51"/>
      <c r="T173" s="51"/>
      <c r="U173" s="51"/>
      <c r="V173" s="51"/>
    </row>
    <row r="174" spans="1:22" x14ac:dyDescent="0.2">
      <c r="A174" s="138" t="s">
        <v>105</v>
      </c>
      <c r="B174" s="139" t="s">
        <v>70</v>
      </c>
      <c r="C174" s="167">
        <f>C175</f>
        <v>1</v>
      </c>
      <c r="D174" s="144"/>
      <c r="E174" s="144"/>
      <c r="F174" s="144"/>
      <c r="G174" s="144"/>
      <c r="H174" s="144"/>
      <c r="I174" s="144"/>
      <c r="J174" s="144"/>
      <c r="K174" s="208">
        <f>K175</f>
        <v>52305</v>
      </c>
      <c r="L174" s="208">
        <f t="shared" si="81"/>
        <v>39000</v>
      </c>
      <c r="M174" s="208">
        <f t="shared" si="81"/>
        <v>39000</v>
      </c>
      <c r="N174" s="208">
        <f t="shared" si="81"/>
        <v>20000</v>
      </c>
      <c r="O174" s="208"/>
      <c r="P174" s="51">
        <f t="shared" si="71"/>
        <v>16571</v>
      </c>
      <c r="Q174" s="208">
        <f t="shared" si="81"/>
        <v>0</v>
      </c>
      <c r="R174" s="208">
        <f t="shared" si="81"/>
        <v>16571</v>
      </c>
      <c r="S174" s="51"/>
      <c r="T174" s="51"/>
      <c r="U174" s="51"/>
      <c r="V174" s="51"/>
    </row>
    <row r="175" spans="1:22" x14ac:dyDescent="0.2">
      <c r="A175" s="138"/>
      <c r="B175" s="139" t="s">
        <v>319</v>
      </c>
      <c r="C175" s="167">
        <f>C176</f>
        <v>1</v>
      </c>
      <c r="D175" s="144"/>
      <c r="E175" s="144"/>
      <c r="F175" s="144"/>
      <c r="G175" s="144"/>
      <c r="H175" s="144"/>
      <c r="I175" s="144"/>
      <c r="J175" s="144"/>
      <c r="K175" s="208">
        <f>K176</f>
        <v>52305</v>
      </c>
      <c r="L175" s="208">
        <f t="shared" si="81"/>
        <v>39000</v>
      </c>
      <c r="M175" s="208">
        <f t="shared" si="81"/>
        <v>39000</v>
      </c>
      <c r="N175" s="208">
        <f t="shared" si="81"/>
        <v>20000</v>
      </c>
      <c r="O175" s="208"/>
      <c r="P175" s="51">
        <f t="shared" si="71"/>
        <v>16571</v>
      </c>
      <c r="Q175" s="208">
        <f t="shared" si="81"/>
        <v>0</v>
      </c>
      <c r="R175" s="208">
        <f t="shared" si="81"/>
        <v>16571</v>
      </c>
      <c r="S175" s="51"/>
      <c r="T175" s="51"/>
      <c r="U175" s="51"/>
      <c r="V175" s="51"/>
    </row>
    <row r="176" spans="1:22" ht="78.75" x14ac:dyDescent="0.2">
      <c r="A176" s="140">
        <f t="shared" ref="A176" si="82">A175+1</f>
        <v>1</v>
      </c>
      <c r="B176" s="149" t="s">
        <v>407</v>
      </c>
      <c r="C176" s="167">
        <v>1</v>
      </c>
      <c r="D176" s="145" t="s">
        <v>89</v>
      </c>
      <c r="E176" s="145" t="s">
        <v>154</v>
      </c>
      <c r="F176" s="137" t="s">
        <v>152</v>
      </c>
      <c r="G176" s="145">
        <v>7896949</v>
      </c>
      <c r="H176" s="145" t="s">
        <v>408</v>
      </c>
      <c r="I176" s="146" t="s">
        <v>80</v>
      </c>
      <c r="J176" s="161" t="s">
        <v>409</v>
      </c>
      <c r="K176" s="210">
        <v>52305</v>
      </c>
      <c r="L176" s="210">
        <v>39000</v>
      </c>
      <c r="M176" s="210">
        <v>39000</v>
      </c>
      <c r="N176" s="210">
        <v>20000</v>
      </c>
      <c r="O176" s="210"/>
      <c r="P176" s="51">
        <f t="shared" si="71"/>
        <v>16571</v>
      </c>
      <c r="Q176" s="210"/>
      <c r="R176" s="217">
        <v>16571</v>
      </c>
      <c r="S176" s="51"/>
      <c r="T176" s="51"/>
      <c r="U176" s="51"/>
      <c r="V176" s="51"/>
    </row>
    <row r="177" spans="1:22" x14ac:dyDescent="0.2">
      <c r="A177" s="135" t="s">
        <v>410</v>
      </c>
      <c r="B177" s="151" t="s">
        <v>290</v>
      </c>
      <c r="C177" s="166">
        <f>C178+C181</f>
        <v>13</v>
      </c>
      <c r="D177" s="152"/>
      <c r="E177" s="152"/>
      <c r="F177" s="152"/>
      <c r="G177" s="152"/>
      <c r="H177" s="152"/>
      <c r="I177" s="152"/>
      <c r="J177" s="152"/>
      <c r="K177" s="207">
        <f>K178+K181</f>
        <v>443313</v>
      </c>
      <c r="L177" s="207">
        <f t="shared" ref="L177:R177" si="83">L178+L181</f>
        <v>291500</v>
      </c>
      <c r="M177" s="207">
        <f t="shared" si="83"/>
        <v>291500</v>
      </c>
      <c r="N177" s="207">
        <f t="shared" si="83"/>
        <v>500</v>
      </c>
      <c r="O177" s="207"/>
      <c r="P177" s="51">
        <f t="shared" si="71"/>
        <v>133400</v>
      </c>
      <c r="Q177" s="207">
        <f t="shared" ref="Q177" si="84">Q178+Q181</f>
        <v>0</v>
      </c>
      <c r="R177" s="207">
        <f t="shared" si="83"/>
        <v>133400</v>
      </c>
      <c r="S177" s="51"/>
      <c r="T177" s="51"/>
      <c r="U177" s="51"/>
      <c r="V177" s="51"/>
    </row>
    <row r="178" spans="1:22" x14ac:dyDescent="0.2">
      <c r="A178" s="138" t="s">
        <v>411</v>
      </c>
      <c r="B178" s="139" t="s">
        <v>70</v>
      </c>
      <c r="C178" s="167">
        <f>C179</f>
        <v>1</v>
      </c>
      <c r="D178" s="144"/>
      <c r="E178" s="144"/>
      <c r="F178" s="144"/>
      <c r="G178" s="144"/>
      <c r="H178" s="144"/>
      <c r="I178" s="144"/>
      <c r="J178" s="144"/>
      <c r="K178" s="208">
        <f>K179</f>
        <v>72883</v>
      </c>
      <c r="L178" s="208">
        <f t="shared" ref="L178:R179" si="85">L179</f>
        <v>45000</v>
      </c>
      <c r="M178" s="208">
        <f t="shared" si="85"/>
        <v>45000</v>
      </c>
      <c r="N178" s="208">
        <f t="shared" si="85"/>
        <v>500</v>
      </c>
      <c r="O178" s="208"/>
      <c r="P178" s="51">
        <f t="shared" si="71"/>
        <v>30000</v>
      </c>
      <c r="Q178" s="208">
        <f t="shared" si="85"/>
        <v>0</v>
      </c>
      <c r="R178" s="208">
        <f t="shared" si="85"/>
        <v>30000</v>
      </c>
      <c r="S178" s="51"/>
      <c r="T178" s="51"/>
      <c r="U178" s="51"/>
      <c r="V178" s="51"/>
    </row>
    <row r="179" spans="1:22" x14ac:dyDescent="0.2">
      <c r="A179" s="138"/>
      <c r="B179" s="139" t="s">
        <v>185</v>
      </c>
      <c r="C179" s="167">
        <f>C180</f>
        <v>1</v>
      </c>
      <c r="D179" s="144"/>
      <c r="E179" s="144"/>
      <c r="F179" s="144"/>
      <c r="G179" s="144"/>
      <c r="H179" s="144"/>
      <c r="I179" s="144"/>
      <c r="J179" s="144"/>
      <c r="K179" s="208">
        <f>K180</f>
        <v>72883</v>
      </c>
      <c r="L179" s="208">
        <f t="shared" si="85"/>
        <v>45000</v>
      </c>
      <c r="M179" s="208">
        <f t="shared" si="85"/>
        <v>45000</v>
      </c>
      <c r="N179" s="208">
        <f t="shared" si="85"/>
        <v>500</v>
      </c>
      <c r="O179" s="208"/>
      <c r="P179" s="51">
        <f t="shared" si="71"/>
        <v>30000</v>
      </c>
      <c r="Q179" s="208">
        <f t="shared" si="85"/>
        <v>0</v>
      </c>
      <c r="R179" s="208">
        <f t="shared" si="85"/>
        <v>30000</v>
      </c>
      <c r="S179" s="51"/>
      <c r="T179" s="51"/>
      <c r="U179" s="51"/>
      <c r="V179" s="51"/>
    </row>
    <row r="180" spans="1:22" ht="50.25" customHeight="1" x14ac:dyDescent="0.2">
      <c r="A180" s="140">
        <f t="shared" ref="A180" si="86">A179+1</f>
        <v>1</v>
      </c>
      <c r="B180" s="149" t="s">
        <v>412</v>
      </c>
      <c r="C180" s="167">
        <v>1</v>
      </c>
      <c r="D180" s="137" t="s">
        <v>93</v>
      </c>
      <c r="E180" s="137" t="s">
        <v>186</v>
      </c>
      <c r="F180" s="137" t="s">
        <v>184</v>
      </c>
      <c r="G180" s="162" t="s">
        <v>413</v>
      </c>
      <c r="H180" s="137" t="s">
        <v>414</v>
      </c>
      <c r="I180" s="137" t="s">
        <v>80</v>
      </c>
      <c r="J180" s="150" t="s">
        <v>415</v>
      </c>
      <c r="K180" s="216">
        <v>72883</v>
      </c>
      <c r="L180" s="210">
        <v>45000</v>
      </c>
      <c r="M180" s="210">
        <v>45000</v>
      </c>
      <c r="N180" s="210">
        <v>500</v>
      </c>
      <c r="O180" s="210"/>
      <c r="P180" s="51">
        <f t="shared" si="71"/>
        <v>30000</v>
      </c>
      <c r="Q180" s="210"/>
      <c r="R180" s="227">
        <v>30000</v>
      </c>
      <c r="S180" s="51"/>
      <c r="T180" s="51"/>
      <c r="U180" s="51"/>
      <c r="V180" s="51"/>
    </row>
    <row r="181" spans="1:22" x14ac:dyDescent="0.2">
      <c r="A181" s="138" t="s">
        <v>416</v>
      </c>
      <c r="B181" s="139" t="s">
        <v>78</v>
      </c>
      <c r="C181" s="167">
        <f>C182+C184+C190+C194+C197</f>
        <v>12</v>
      </c>
      <c r="D181" s="144"/>
      <c r="E181" s="144"/>
      <c r="F181" s="144"/>
      <c r="G181" s="144"/>
      <c r="H181" s="144"/>
      <c r="I181" s="144"/>
      <c r="J181" s="144"/>
      <c r="K181" s="208">
        <f>K182+K184+K190+K194+K197</f>
        <v>370430</v>
      </c>
      <c r="L181" s="208">
        <f t="shared" ref="L181:R181" si="87">L182+L184+L190+L194+L197</f>
        <v>246500</v>
      </c>
      <c r="M181" s="208">
        <f t="shared" si="87"/>
        <v>246500</v>
      </c>
      <c r="N181" s="208">
        <f t="shared" si="87"/>
        <v>0</v>
      </c>
      <c r="O181" s="208"/>
      <c r="P181" s="51">
        <f t="shared" si="71"/>
        <v>103400</v>
      </c>
      <c r="Q181" s="208">
        <f t="shared" ref="Q181" si="88">Q182+Q184+Q190+Q194+Q197</f>
        <v>0</v>
      </c>
      <c r="R181" s="208">
        <f t="shared" si="87"/>
        <v>103400</v>
      </c>
      <c r="S181" s="51"/>
      <c r="T181" s="51"/>
      <c r="U181" s="51"/>
      <c r="V181" s="51"/>
    </row>
    <row r="182" spans="1:22" x14ac:dyDescent="0.2">
      <c r="A182" s="138"/>
      <c r="B182" s="139" t="s">
        <v>314</v>
      </c>
      <c r="C182" s="167">
        <f>C183</f>
        <v>1</v>
      </c>
      <c r="D182" s="144"/>
      <c r="E182" s="144"/>
      <c r="F182" s="144"/>
      <c r="G182" s="144"/>
      <c r="H182" s="144"/>
      <c r="I182" s="144"/>
      <c r="J182" s="144"/>
      <c r="K182" s="208">
        <f>K183</f>
        <v>30799</v>
      </c>
      <c r="L182" s="208">
        <f t="shared" ref="L182:R182" si="89">L183</f>
        <v>23000</v>
      </c>
      <c r="M182" s="208">
        <f t="shared" si="89"/>
        <v>23000</v>
      </c>
      <c r="N182" s="208">
        <f t="shared" si="89"/>
        <v>0</v>
      </c>
      <c r="O182" s="208"/>
      <c r="P182" s="51">
        <f t="shared" si="71"/>
        <v>15000</v>
      </c>
      <c r="Q182" s="208">
        <f t="shared" si="89"/>
        <v>0</v>
      </c>
      <c r="R182" s="208">
        <f t="shared" si="89"/>
        <v>15000</v>
      </c>
      <c r="S182" s="51"/>
      <c r="T182" s="51"/>
      <c r="U182" s="51"/>
      <c r="V182" s="51"/>
    </row>
    <row r="183" spans="1:22" ht="47.25" x14ac:dyDescent="0.2">
      <c r="A183" s="140">
        <f t="shared" ref="A183" si="90">A182+1</f>
        <v>1</v>
      </c>
      <c r="B183" s="141" t="s">
        <v>417</v>
      </c>
      <c r="C183" s="167">
        <v>1</v>
      </c>
      <c r="D183" s="145" t="s">
        <v>91</v>
      </c>
      <c r="E183" s="145" t="s">
        <v>206</v>
      </c>
      <c r="F183" s="137" t="s">
        <v>151</v>
      </c>
      <c r="G183" s="141">
        <v>7919829</v>
      </c>
      <c r="H183" s="141"/>
      <c r="I183" s="137" t="s">
        <v>80</v>
      </c>
      <c r="J183" s="147" t="s">
        <v>418</v>
      </c>
      <c r="K183" s="216">
        <v>30799</v>
      </c>
      <c r="L183" s="210">
        <v>23000</v>
      </c>
      <c r="M183" s="210">
        <v>23000</v>
      </c>
      <c r="N183" s="208"/>
      <c r="O183" s="208"/>
      <c r="P183" s="51">
        <f t="shared" si="71"/>
        <v>15000</v>
      </c>
      <c r="Q183" s="208"/>
      <c r="R183" s="227">
        <v>15000</v>
      </c>
      <c r="S183" s="51"/>
      <c r="T183" s="51"/>
      <c r="U183" s="51"/>
      <c r="V183" s="51"/>
    </row>
    <row r="184" spans="1:22" x14ac:dyDescent="0.2">
      <c r="A184" s="138"/>
      <c r="B184" s="139" t="s">
        <v>319</v>
      </c>
      <c r="C184" s="167">
        <f>SUM(C185:C189)</f>
        <v>5</v>
      </c>
      <c r="D184" s="144"/>
      <c r="E184" s="144"/>
      <c r="F184" s="144"/>
      <c r="G184" s="144"/>
      <c r="H184" s="144"/>
      <c r="I184" s="144"/>
      <c r="J184" s="144"/>
      <c r="K184" s="208">
        <f>SUM(K185:K189)</f>
        <v>110430</v>
      </c>
      <c r="L184" s="208">
        <f t="shared" ref="L184:R184" si="91">SUM(L185:L189)</f>
        <v>75000</v>
      </c>
      <c r="M184" s="208">
        <f t="shared" si="91"/>
        <v>75000</v>
      </c>
      <c r="N184" s="208">
        <f t="shared" si="91"/>
        <v>0</v>
      </c>
      <c r="O184" s="208"/>
      <c r="P184" s="51">
        <f t="shared" si="71"/>
        <v>33900</v>
      </c>
      <c r="Q184" s="208">
        <f t="shared" si="91"/>
        <v>0</v>
      </c>
      <c r="R184" s="208">
        <f t="shared" si="91"/>
        <v>33900</v>
      </c>
      <c r="S184" s="51"/>
      <c r="T184" s="51"/>
      <c r="U184" s="51"/>
      <c r="V184" s="51"/>
    </row>
    <row r="185" spans="1:22" ht="52.5" customHeight="1" x14ac:dyDescent="0.2">
      <c r="A185" s="140">
        <f t="shared" ref="A185:A198" si="92">A184+1</f>
        <v>1</v>
      </c>
      <c r="B185" s="149" t="s">
        <v>419</v>
      </c>
      <c r="C185" s="167">
        <v>1</v>
      </c>
      <c r="D185" s="145" t="s">
        <v>89</v>
      </c>
      <c r="E185" s="145" t="s">
        <v>154</v>
      </c>
      <c r="F185" s="137" t="s">
        <v>152</v>
      </c>
      <c r="G185" s="137">
        <v>7932126</v>
      </c>
      <c r="H185" s="137" t="s">
        <v>420</v>
      </c>
      <c r="I185" s="146" t="s">
        <v>75</v>
      </c>
      <c r="J185" s="150" t="s">
        <v>421</v>
      </c>
      <c r="K185" s="216">
        <v>27068</v>
      </c>
      <c r="L185" s="210">
        <v>20000</v>
      </c>
      <c r="M185" s="210">
        <v>20000</v>
      </c>
      <c r="N185" s="208"/>
      <c r="O185" s="208"/>
      <c r="P185" s="51">
        <f t="shared" si="71"/>
        <v>7000</v>
      </c>
      <c r="Q185" s="208"/>
      <c r="R185" s="217">
        <v>7000</v>
      </c>
      <c r="S185" s="51"/>
      <c r="T185" s="51"/>
      <c r="U185" s="51"/>
      <c r="V185" s="51"/>
    </row>
    <row r="186" spans="1:22" ht="52.5" customHeight="1" x14ac:dyDescent="0.2">
      <c r="A186" s="140">
        <f t="shared" si="92"/>
        <v>2</v>
      </c>
      <c r="B186" s="149" t="s">
        <v>422</v>
      </c>
      <c r="C186" s="167">
        <v>1</v>
      </c>
      <c r="D186" s="145" t="s">
        <v>89</v>
      </c>
      <c r="E186" s="145" t="s">
        <v>154</v>
      </c>
      <c r="F186" s="137" t="s">
        <v>152</v>
      </c>
      <c r="G186" s="137">
        <v>7932125</v>
      </c>
      <c r="H186" s="137" t="s">
        <v>423</v>
      </c>
      <c r="I186" s="146" t="s">
        <v>75</v>
      </c>
      <c r="J186" s="150" t="s">
        <v>424</v>
      </c>
      <c r="K186" s="216">
        <v>23310</v>
      </c>
      <c r="L186" s="210">
        <v>13000</v>
      </c>
      <c r="M186" s="210">
        <v>13000</v>
      </c>
      <c r="N186" s="208"/>
      <c r="O186" s="208"/>
      <c r="P186" s="51">
        <f t="shared" si="71"/>
        <v>6000</v>
      </c>
      <c r="Q186" s="208"/>
      <c r="R186" s="217">
        <v>6000</v>
      </c>
      <c r="S186" s="51"/>
      <c r="T186" s="51"/>
      <c r="U186" s="51"/>
      <c r="V186" s="51"/>
    </row>
    <row r="187" spans="1:22" ht="50.25" customHeight="1" x14ac:dyDescent="0.2">
      <c r="A187" s="140">
        <f t="shared" si="92"/>
        <v>3</v>
      </c>
      <c r="B187" s="149" t="s">
        <v>425</v>
      </c>
      <c r="C187" s="167">
        <v>1</v>
      </c>
      <c r="D187" s="145" t="s">
        <v>89</v>
      </c>
      <c r="E187" s="145" t="s">
        <v>154</v>
      </c>
      <c r="F187" s="137" t="s">
        <v>152</v>
      </c>
      <c r="G187" s="137">
        <v>7959234</v>
      </c>
      <c r="H187" s="137" t="s">
        <v>426</v>
      </c>
      <c r="I187" s="137" t="s">
        <v>75</v>
      </c>
      <c r="J187" s="137" t="s">
        <v>427</v>
      </c>
      <c r="K187" s="216">
        <v>14973</v>
      </c>
      <c r="L187" s="210">
        <v>12000</v>
      </c>
      <c r="M187" s="210">
        <v>12000</v>
      </c>
      <c r="N187" s="208"/>
      <c r="O187" s="208"/>
      <c r="P187" s="51">
        <f t="shared" si="71"/>
        <v>6000</v>
      </c>
      <c r="Q187" s="208"/>
      <c r="R187" s="217">
        <v>6000</v>
      </c>
      <c r="S187" s="51"/>
      <c r="T187" s="51"/>
      <c r="U187" s="51"/>
      <c r="V187" s="51"/>
    </row>
    <row r="188" spans="1:22" ht="47.25" x14ac:dyDescent="0.2">
      <c r="A188" s="140">
        <f t="shared" si="92"/>
        <v>4</v>
      </c>
      <c r="B188" s="149" t="s">
        <v>428</v>
      </c>
      <c r="C188" s="167">
        <v>1</v>
      </c>
      <c r="D188" s="145" t="s">
        <v>89</v>
      </c>
      <c r="E188" s="145" t="s">
        <v>154</v>
      </c>
      <c r="F188" s="137" t="s">
        <v>152</v>
      </c>
      <c r="G188" s="137">
        <v>7932122</v>
      </c>
      <c r="H188" s="137" t="s">
        <v>429</v>
      </c>
      <c r="I188" s="137" t="s">
        <v>75</v>
      </c>
      <c r="J188" s="137" t="s">
        <v>430</v>
      </c>
      <c r="K188" s="216">
        <v>22070</v>
      </c>
      <c r="L188" s="210">
        <v>11000</v>
      </c>
      <c r="M188" s="210">
        <v>11000</v>
      </c>
      <c r="N188" s="208"/>
      <c r="O188" s="208"/>
      <c r="P188" s="51">
        <f t="shared" si="71"/>
        <v>6000</v>
      </c>
      <c r="Q188" s="208"/>
      <c r="R188" s="210">
        <v>6000</v>
      </c>
      <c r="S188" s="51"/>
      <c r="T188" s="51"/>
      <c r="U188" s="51"/>
      <c r="V188" s="51"/>
    </row>
    <row r="189" spans="1:22" ht="47.25" x14ac:dyDescent="0.2">
      <c r="A189" s="140">
        <f t="shared" si="92"/>
        <v>5</v>
      </c>
      <c r="B189" s="149" t="s">
        <v>431</v>
      </c>
      <c r="C189" s="167">
        <v>1</v>
      </c>
      <c r="D189" s="137" t="s">
        <v>89</v>
      </c>
      <c r="E189" s="137" t="s">
        <v>154</v>
      </c>
      <c r="F189" s="137" t="s">
        <v>152</v>
      </c>
      <c r="G189" s="137">
        <v>7935423</v>
      </c>
      <c r="H189" s="137" t="s">
        <v>432</v>
      </c>
      <c r="I189" s="137" t="s">
        <v>103</v>
      </c>
      <c r="J189" s="137" t="s">
        <v>433</v>
      </c>
      <c r="K189" s="210">
        <v>23009</v>
      </c>
      <c r="L189" s="210">
        <v>19000</v>
      </c>
      <c r="M189" s="210">
        <v>19000</v>
      </c>
      <c r="N189" s="208"/>
      <c r="O189" s="208"/>
      <c r="P189" s="51">
        <f t="shared" si="71"/>
        <v>8900</v>
      </c>
      <c r="Q189" s="208"/>
      <c r="R189" s="217">
        <v>8900</v>
      </c>
      <c r="S189" s="51"/>
      <c r="T189" s="51"/>
      <c r="U189" s="51"/>
      <c r="V189" s="51"/>
    </row>
    <row r="190" spans="1:22" x14ac:dyDescent="0.2">
      <c r="A190" s="140"/>
      <c r="B190" s="139" t="s">
        <v>346</v>
      </c>
      <c r="C190" s="167">
        <f>SUM(C191:C193)</f>
        <v>3</v>
      </c>
      <c r="D190" s="144"/>
      <c r="E190" s="144"/>
      <c r="F190" s="144"/>
      <c r="G190" s="144"/>
      <c r="H190" s="144"/>
      <c r="I190" s="144"/>
      <c r="J190" s="144"/>
      <c r="K190" s="208">
        <f>SUM(K191:K193)</f>
        <v>148578</v>
      </c>
      <c r="L190" s="208">
        <f t="shared" ref="L190:R190" si="93">SUM(L191:L193)</f>
        <v>83000</v>
      </c>
      <c r="M190" s="208">
        <f t="shared" si="93"/>
        <v>83000</v>
      </c>
      <c r="N190" s="208">
        <f t="shared" si="93"/>
        <v>0</v>
      </c>
      <c r="O190" s="208"/>
      <c r="P190" s="51">
        <f t="shared" si="71"/>
        <v>21000</v>
      </c>
      <c r="Q190" s="208">
        <f t="shared" si="93"/>
        <v>0</v>
      </c>
      <c r="R190" s="208">
        <f t="shared" si="93"/>
        <v>21000</v>
      </c>
      <c r="S190" s="51"/>
      <c r="T190" s="51"/>
      <c r="U190" s="51"/>
      <c r="V190" s="51"/>
    </row>
    <row r="191" spans="1:22" ht="47.25" x14ac:dyDescent="0.2">
      <c r="A191" s="140">
        <f t="shared" si="92"/>
        <v>1</v>
      </c>
      <c r="B191" s="141" t="s">
        <v>434</v>
      </c>
      <c r="C191" s="167">
        <v>1</v>
      </c>
      <c r="D191" s="137" t="s">
        <v>123</v>
      </c>
      <c r="E191" s="137" t="s">
        <v>127</v>
      </c>
      <c r="F191" s="137" t="s">
        <v>122</v>
      </c>
      <c r="G191" s="137">
        <v>7922186</v>
      </c>
      <c r="H191" s="137"/>
      <c r="I191" s="137" t="s">
        <v>90</v>
      </c>
      <c r="J191" s="137" t="s">
        <v>435</v>
      </c>
      <c r="K191" s="210">
        <v>42042</v>
      </c>
      <c r="L191" s="210">
        <v>30000</v>
      </c>
      <c r="M191" s="210">
        <v>30000</v>
      </c>
      <c r="N191" s="208"/>
      <c r="O191" s="208"/>
      <c r="P191" s="51">
        <f t="shared" si="71"/>
        <v>7000</v>
      </c>
      <c r="Q191" s="208"/>
      <c r="R191" s="213">
        <v>7000</v>
      </c>
      <c r="S191" s="51"/>
      <c r="T191" s="51"/>
      <c r="U191" s="51"/>
      <c r="V191" s="51"/>
    </row>
    <row r="192" spans="1:22" ht="47.25" x14ac:dyDescent="0.2">
      <c r="A192" s="140">
        <f t="shared" si="92"/>
        <v>2</v>
      </c>
      <c r="B192" s="149" t="s">
        <v>436</v>
      </c>
      <c r="C192" s="167">
        <v>1</v>
      </c>
      <c r="D192" s="137" t="s">
        <v>123</v>
      </c>
      <c r="E192" s="137" t="s">
        <v>127</v>
      </c>
      <c r="F192" s="137" t="s">
        <v>122</v>
      </c>
      <c r="G192" s="137">
        <v>7934836</v>
      </c>
      <c r="H192" s="137"/>
      <c r="I192" s="137" t="s">
        <v>90</v>
      </c>
      <c r="J192" s="137" t="s">
        <v>437</v>
      </c>
      <c r="K192" s="210">
        <v>67334</v>
      </c>
      <c r="L192" s="210">
        <v>28000</v>
      </c>
      <c r="M192" s="210">
        <v>28000</v>
      </c>
      <c r="N192" s="208"/>
      <c r="O192" s="208"/>
      <c r="P192" s="51">
        <f t="shared" si="71"/>
        <v>7000</v>
      </c>
      <c r="Q192" s="208"/>
      <c r="R192" s="213">
        <v>7000</v>
      </c>
      <c r="S192" s="51"/>
      <c r="T192" s="51"/>
      <c r="U192" s="51"/>
      <c r="V192" s="51"/>
    </row>
    <row r="193" spans="1:22" ht="47.25" x14ac:dyDescent="0.2">
      <c r="A193" s="140">
        <f t="shared" si="92"/>
        <v>3</v>
      </c>
      <c r="B193" s="149" t="s">
        <v>438</v>
      </c>
      <c r="C193" s="167">
        <v>1</v>
      </c>
      <c r="D193" s="137" t="s">
        <v>123</v>
      </c>
      <c r="E193" s="137" t="s">
        <v>127</v>
      </c>
      <c r="F193" s="137" t="s">
        <v>122</v>
      </c>
      <c r="G193" s="137">
        <v>7935425</v>
      </c>
      <c r="H193" s="137"/>
      <c r="I193" s="137" t="s">
        <v>90</v>
      </c>
      <c r="J193" s="137" t="s">
        <v>439</v>
      </c>
      <c r="K193" s="210">
        <v>39202</v>
      </c>
      <c r="L193" s="210">
        <v>25000</v>
      </c>
      <c r="M193" s="210">
        <v>25000</v>
      </c>
      <c r="N193" s="208"/>
      <c r="O193" s="208"/>
      <c r="P193" s="51">
        <f t="shared" ref="P193:P257" si="94">SUM(Q193:U193)</f>
        <v>7000</v>
      </c>
      <c r="Q193" s="208"/>
      <c r="R193" s="213">
        <v>7000</v>
      </c>
      <c r="S193" s="51"/>
      <c r="T193" s="51"/>
      <c r="U193" s="51"/>
      <c r="V193" s="51"/>
    </row>
    <row r="194" spans="1:22" x14ac:dyDescent="0.2">
      <c r="A194" s="140"/>
      <c r="B194" s="139" t="s">
        <v>387</v>
      </c>
      <c r="C194" s="167">
        <f>SUM(C195:C196)</f>
        <v>2</v>
      </c>
      <c r="D194" s="144"/>
      <c r="E194" s="144"/>
      <c r="F194" s="144"/>
      <c r="G194" s="144"/>
      <c r="H194" s="144"/>
      <c r="I194" s="144"/>
      <c r="J194" s="144"/>
      <c r="K194" s="208">
        <f>SUM(K195:K196)</f>
        <v>40759</v>
      </c>
      <c r="L194" s="208">
        <f t="shared" ref="L194:R194" si="95">SUM(L195:L196)</f>
        <v>36000</v>
      </c>
      <c r="M194" s="208">
        <f t="shared" si="95"/>
        <v>36000</v>
      </c>
      <c r="N194" s="208">
        <f t="shared" si="95"/>
        <v>0</v>
      </c>
      <c r="O194" s="208"/>
      <c r="P194" s="51">
        <f t="shared" si="94"/>
        <v>18500</v>
      </c>
      <c r="Q194" s="208">
        <f t="shared" si="95"/>
        <v>0</v>
      </c>
      <c r="R194" s="208">
        <f t="shared" si="95"/>
        <v>18500</v>
      </c>
      <c r="S194" s="51"/>
      <c r="T194" s="51"/>
      <c r="U194" s="51"/>
      <c r="V194" s="51"/>
    </row>
    <row r="195" spans="1:22" ht="47.25" x14ac:dyDescent="0.2">
      <c r="A195" s="140">
        <f t="shared" si="92"/>
        <v>1</v>
      </c>
      <c r="B195" s="141" t="s">
        <v>440</v>
      </c>
      <c r="C195" s="167">
        <v>1</v>
      </c>
      <c r="D195" s="145" t="s">
        <v>155</v>
      </c>
      <c r="E195" s="145" t="s">
        <v>156</v>
      </c>
      <c r="F195" s="137" t="s">
        <v>157</v>
      </c>
      <c r="G195" s="137"/>
      <c r="H195" s="137"/>
      <c r="I195" s="137" t="s">
        <v>75</v>
      </c>
      <c r="J195" s="137" t="s">
        <v>441</v>
      </c>
      <c r="K195" s="216">
        <v>14763</v>
      </c>
      <c r="L195" s="210">
        <v>13000</v>
      </c>
      <c r="M195" s="210">
        <v>13000</v>
      </c>
      <c r="N195" s="208"/>
      <c r="O195" s="208"/>
      <c r="P195" s="51">
        <f t="shared" si="94"/>
        <v>7000</v>
      </c>
      <c r="Q195" s="208"/>
      <c r="R195" s="216">
        <v>7000</v>
      </c>
      <c r="S195" s="51"/>
      <c r="T195" s="51"/>
      <c r="U195" s="51"/>
      <c r="V195" s="51"/>
    </row>
    <row r="196" spans="1:22" ht="47.25" x14ac:dyDescent="0.2">
      <c r="A196" s="140">
        <f t="shared" si="92"/>
        <v>2</v>
      </c>
      <c r="B196" s="141" t="s">
        <v>442</v>
      </c>
      <c r="C196" s="167">
        <v>1</v>
      </c>
      <c r="D196" s="137" t="s">
        <v>155</v>
      </c>
      <c r="E196" s="137" t="s">
        <v>156</v>
      </c>
      <c r="F196" s="137" t="s">
        <v>157</v>
      </c>
      <c r="G196" s="137"/>
      <c r="H196" s="137"/>
      <c r="I196" s="137" t="s">
        <v>75</v>
      </c>
      <c r="J196" s="137" t="s">
        <v>443</v>
      </c>
      <c r="K196" s="210">
        <v>25996</v>
      </c>
      <c r="L196" s="210">
        <v>23000</v>
      </c>
      <c r="M196" s="210">
        <v>23000</v>
      </c>
      <c r="N196" s="208"/>
      <c r="O196" s="208"/>
      <c r="P196" s="51">
        <f t="shared" si="94"/>
        <v>11500</v>
      </c>
      <c r="Q196" s="208"/>
      <c r="R196" s="225">
        <v>11500</v>
      </c>
      <c r="S196" s="51"/>
      <c r="T196" s="51"/>
      <c r="U196" s="51"/>
      <c r="V196" s="51"/>
    </row>
    <row r="197" spans="1:22" x14ac:dyDescent="0.2">
      <c r="A197" s="140"/>
      <c r="B197" s="139" t="s">
        <v>317</v>
      </c>
      <c r="C197" s="167">
        <f>C198</f>
        <v>1</v>
      </c>
      <c r="D197" s="137"/>
      <c r="E197" s="137"/>
      <c r="F197" s="137"/>
      <c r="G197" s="137"/>
      <c r="H197" s="137"/>
      <c r="I197" s="137"/>
      <c r="J197" s="137"/>
      <c r="K197" s="208">
        <f>K198</f>
        <v>39864</v>
      </c>
      <c r="L197" s="208">
        <f t="shared" ref="L197:R197" si="96">L198</f>
        <v>29500</v>
      </c>
      <c r="M197" s="208">
        <f t="shared" si="96"/>
        <v>29500</v>
      </c>
      <c r="N197" s="208">
        <f t="shared" si="96"/>
        <v>0</v>
      </c>
      <c r="O197" s="208"/>
      <c r="P197" s="51">
        <f t="shared" si="94"/>
        <v>15000</v>
      </c>
      <c r="Q197" s="208">
        <f t="shared" si="96"/>
        <v>0</v>
      </c>
      <c r="R197" s="208">
        <f t="shared" si="96"/>
        <v>15000</v>
      </c>
      <c r="S197" s="51"/>
      <c r="T197" s="51"/>
      <c r="U197" s="51"/>
      <c r="V197" s="51"/>
    </row>
    <row r="198" spans="1:22" ht="47.25" x14ac:dyDescent="0.2">
      <c r="A198" s="140">
        <f t="shared" si="92"/>
        <v>1</v>
      </c>
      <c r="B198" s="141" t="s">
        <v>444</v>
      </c>
      <c r="C198" s="150">
        <v>1</v>
      </c>
      <c r="D198" s="145" t="s">
        <v>94</v>
      </c>
      <c r="E198" s="145" t="s">
        <v>116</v>
      </c>
      <c r="F198" s="137" t="s">
        <v>115</v>
      </c>
      <c r="G198" s="137">
        <v>7920329</v>
      </c>
      <c r="H198" s="145" t="s">
        <v>445</v>
      </c>
      <c r="I198" s="148" t="s">
        <v>80</v>
      </c>
      <c r="J198" s="137" t="s">
        <v>446</v>
      </c>
      <c r="K198" s="216">
        <v>39864</v>
      </c>
      <c r="L198" s="210">
        <v>29500</v>
      </c>
      <c r="M198" s="210">
        <v>29500</v>
      </c>
      <c r="N198" s="210"/>
      <c r="O198" s="210"/>
      <c r="P198" s="51">
        <f t="shared" si="94"/>
        <v>15000</v>
      </c>
      <c r="Q198" s="210"/>
      <c r="R198" s="213">
        <v>15000</v>
      </c>
      <c r="S198" s="51"/>
      <c r="T198" s="51"/>
      <c r="U198" s="51"/>
      <c r="V198" s="51"/>
    </row>
    <row r="199" spans="1:22" hidden="1" x14ac:dyDescent="0.2">
      <c r="A199" s="47"/>
      <c r="B199" s="52"/>
      <c r="C199" s="47"/>
      <c r="D199" s="49"/>
      <c r="E199" s="49"/>
      <c r="F199" s="49"/>
      <c r="G199" s="49"/>
      <c r="H199" s="49"/>
      <c r="I199" s="49"/>
      <c r="J199" s="49"/>
      <c r="K199" s="51"/>
      <c r="L199" s="51"/>
      <c r="M199" s="51"/>
      <c r="N199" s="99"/>
      <c r="O199" s="51"/>
      <c r="P199" s="51"/>
      <c r="Q199" s="51"/>
      <c r="R199" s="51"/>
      <c r="S199" s="51"/>
      <c r="T199" s="51"/>
      <c r="U199" s="51"/>
      <c r="V199" s="51"/>
    </row>
    <row r="200" spans="1:22" ht="47.25" x14ac:dyDescent="0.2">
      <c r="A200" s="47">
        <v>2</v>
      </c>
      <c r="B200" s="52" t="s">
        <v>301</v>
      </c>
      <c r="C200" s="47">
        <v>1</v>
      </c>
      <c r="D200" s="49" t="s">
        <v>299</v>
      </c>
      <c r="E200" s="49"/>
      <c r="F200" s="49" t="s">
        <v>302</v>
      </c>
      <c r="G200" s="49"/>
      <c r="H200" s="49"/>
      <c r="I200" s="49" t="s">
        <v>74</v>
      </c>
      <c r="J200" s="55" t="s">
        <v>303</v>
      </c>
      <c r="K200" s="51">
        <v>63867.061000000002</v>
      </c>
      <c r="L200" s="51">
        <v>66500</v>
      </c>
      <c r="M200" s="51">
        <v>66500</v>
      </c>
      <c r="N200" s="99">
        <v>25430</v>
      </c>
      <c r="O200" s="51">
        <v>11100</v>
      </c>
      <c r="P200" s="51">
        <f t="shared" si="94"/>
        <v>11070</v>
      </c>
      <c r="Q200" s="51"/>
      <c r="R200" s="51">
        <v>11070</v>
      </c>
      <c r="S200" s="51"/>
      <c r="T200" s="51"/>
      <c r="U200" s="51"/>
      <c r="V200" s="51"/>
    </row>
    <row r="201" spans="1:22" ht="47.25" x14ac:dyDescent="0.2">
      <c r="A201" s="78"/>
      <c r="B201" s="79" t="s">
        <v>480</v>
      </c>
      <c r="C201" s="78">
        <v>1</v>
      </c>
      <c r="D201" s="80"/>
      <c r="E201" s="80"/>
      <c r="F201" s="80" t="s">
        <v>481</v>
      </c>
      <c r="G201" s="80"/>
      <c r="H201" s="80"/>
      <c r="I201" s="80" t="s">
        <v>90</v>
      </c>
      <c r="J201" s="80"/>
      <c r="K201" s="94">
        <f>K202</f>
        <v>14970.564</v>
      </c>
      <c r="L201" s="94">
        <f t="shared" ref="L201:U201" si="97">L202</f>
        <v>14000</v>
      </c>
      <c r="M201" s="94">
        <f t="shared" si="97"/>
        <v>3000</v>
      </c>
      <c r="N201" s="94">
        <f t="shared" si="97"/>
        <v>500</v>
      </c>
      <c r="O201" s="94">
        <f t="shared" si="97"/>
        <v>0</v>
      </c>
      <c r="P201" s="94">
        <f t="shared" si="97"/>
        <v>2500</v>
      </c>
      <c r="Q201" s="94">
        <f t="shared" si="97"/>
        <v>0</v>
      </c>
      <c r="R201" s="94">
        <f t="shared" si="97"/>
        <v>2500</v>
      </c>
      <c r="S201" s="94">
        <f t="shared" si="97"/>
        <v>0</v>
      </c>
      <c r="T201" s="94">
        <f t="shared" si="97"/>
        <v>0</v>
      </c>
      <c r="U201" s="94">
        <f t="shared" si="97"/>
        <v>0</v>
      </c>
      <c r="V201" s="51"/>
    </row>
    <row r="202" spans="1:22" ht="47.25" x14ac:dyDescent="0.2">
      <c r="A202" s="47">
        <v>3</v>
      </c>
      <c r="B202" s="52" t="s">
        <v>296</v>
      </c>
      <c r="C202" s="47">
        <v>1</v>
      </c>
      <c r="D202" s="49" t="s">
        <v>89</v>
      </c>
      <c r="E202" s="49"/>
      <c r="F202" s="49" t="s">
        <v>297</v>
      </c>
      <c r="G202" s="49"/>
      <c r="H202" s="49"/>
      <c r="I202" s="49" t="s">
        <v>80</v>
      </c>
      <c r="J202" s="55" t="s">
        <v>298</v>
      </c>
      <c r="K202" s="51">
        <v>14970.564</v>
      </c>
      <c r="L202" s="51">
        <v>14000</v>
      </c>
      <c r="M202" s="51">
        <v>3000</v>
      </c>
      <c r="N202" s="99">
        <v>500</v>
      </c>
      <c r="O202" s="51">
        <v>0</v>
      </c>
      <c r="P202" s="51">
        <f t="shared" si="94"/>
        <v>2500</v>
      </c>
      <c r="Q202" s="51"/>
      <c r="R202" s="51">
        <v>2500</v>
      </c>
      <c r="S202" s="51"/>
      <c r="T202" s="51"/>
      <c r="U202" s="51"/>
      <c r="V202" s="51"/>
    </row>
    <row r="203" spans="1:22" x14ac:dyDescent="0.2">
      <c r="A203" s="78" t="s">
        <v>34</v>
      </c>
      <c r="B203" s="93" t="s">
        <v>474</v>
      </c>
      <c r="C203" s="78">
        <f t="shared" ref="C203" si="98">C204</f>
        <v>1</v>
      </c>
      <c r="D203" s="80">
        <v>0</v>
      </c>
      <c r="E203" s="80"/>
      <c r="F203" s="80"/>
      <c r="G203" s="80"/>
      <c r="H203" s="80"/>
      <c r="I203" s="80"/>
      <c r="J203" s="80"/>
      <c r="K203" s="82">
        <f t="shared" ref="K203:Q203" si="99">K204</f>
        <v>18277</v>
      </c>
      <c r="L203" s="82">
        <f t="shared" si="99"/>
        <v>16675</v>
      </c>
      <c r="M203" s="82">
        <f t="shared" si="99"/>
        <v>13500</v>
      </c>
      <c r="N203" s="82">
        <f t="shared" si="99"/>
        <v>0</v>
      </c>
      <c r="O203" s="82">
        <f t="shared" si="99"/>
        <v>6500</v>
      </c>
      <c r="P203" s="82">
        <f t="shared" si="99"/>
        <v>8067</v>
      </c>
      <c r="Q203" s="82">
        <f t="shared" si="99"/>
        <v>0</v>
      </c>
      <c r="R203" s="82">
        <f>R204</f>
        <v>8067</v>
      </c>
      <c r="S203" s="82">
        <v>0</v>
      </c>
      <c r="T203" s="82">
        <v>0</v>
      </c>
      <c r="U203" s="82">
        <v>0</v>
      </c>
      <c r="V203" s="51"/>
    </row>
    <row r="204" spans="1:22" ht="47.25" x14ac:dyDescent="0.2">
      <c r="A204" s="47">
        <v>1</v>
      </c>
      <c r="B204" s="52" t="s">
        <v>304</v>
      </c>
      <c r="C204" s="47">
        <v>1</v>
      </c>
      <c r="D204" s="49" t="s">
        <v>73</v>
      </c>
      <c r="E204" s="49"/>
      <c r="F204" s="49" t="s">
        <v>305</v>
      </c>
      <c r="G204" s="49"/>
      <c r="H204" s="49"/>
      <c r="I204" s="49" t="s">
        <v>75</v>
      </c>
      <c r="J204" s="55" t="s">
        <v>306</v>
      </c>
      <c r="K204" s="51">
        <v>18277</v>
      </c>
      <c r="L204" s="51">
        <v>16675</v>
      </c>
      <c r="M204" s="51">
        <v>13500</v>
      </c>
      <c r="N204" s="99">
        <v>0</v>
      </c>
      <c r="O204" s="51">
        <v>6500</v>
      </c>
      <c r="P204" s="51">
        <f t="shared" si="94"/>
        <v>8067</v>
      </c>
      <c r="Q204" s="51"/>
      <c r="R204" s="51">
        <f>8000+67</f>
        <v>8067</v>
      </c>
      <c r="S204" s="51"/>
      <c r="T204" s="51"/>
      <c r="U204" s="51"/>
      <c r="V204" s="51"/>
    </row>
    <row r="205" spans="1:22" x14ac:dyDescent="0.2">
      <c r="A205" s="74" t="s">
        <v>76</v>
      </c>
      <c r="B205" s="53" t="s">
        <v>40</v>
      </c>
      <c r="C205" s="74">
        <f>C206</f>
        <v>1</v>
      </c>
      <c r="D205" s="75"/>
      <c r="E205" s="75"/>
      <c r="F205" s="75"/>
      <c r="G205" s="75"/>
      <c r="H205" s="75"/>
      <c r="I205" s="75"/>
      <c r="J205" s="75"/>
      <c r="K205" s="76">
        <f>K206</f>
        <v>43036</v>
      </c>
      <c r="L205" s="76">
        <f t="shared" ref="L205:U206" si="100">L206</f>
        <v>39000</v>
      </c>
      <c r="M205" s="76">
        <f t="shared" si="100"/>
        <v>39000</v>
      </c>
      <c r="N205" s="76">
        <f t="shared" si="100"/>
        <v>5000</v>
      </c>
      <c r="O205" s="76">
        <f t="shared" si="100"/>
        <v>24000</v>
      </c>
      <c r="P205" s="76">
        <f t="shared" si="100"/>
        <v>24000</v>
      </c>
      <c r="Q205" s="76">
        <f t="shared" si="100"/>
        <v>24000</v>
      </c>
      <c r="R205" s="76">
        <f t="shared" si="100"/>
        <v>0</v>
      </c>
      <c r="S205" s="76">
        <f t="shared" si="100"/>
        <v>0</v>
      </c>
      <c r="T205" s="76">
        <f t="shared" si="100"/>
        <v>0</v>
      </c>
      <c r="U205" s="76">
        <f t="shared" si="100"/>
        <v>0</v>
      </c>
      <c r="V205" s="51"/>
    </row>
    <row r="206" spans="1:22" x14ac:dyDescent="0.2">
      <c r="A206" s="78" t="s">
        <v>33</v>
      </c>
      <c r="B206" s="93" t="s">
        <v>475</v>
      </c>
      <c r="C206" s="78">
        <f>C207</f>
        <v>1</v>
      </c>
      <c r="D206" s="80">
        <v>0</v>
      </c>
      <c r="E206" s="80"/>
      <c r="F206" s="80"/>
      <c r="G206" s="80"/>
      <c r="H206" s="80"/>
      <c r="I206" s="80"/>
      <c r="J206" s="80"/>
      <c r="K206" s="94">
        <f>K207</f>
        <v>43036</v>
      </c>
      <c r="L206" s="94">
        <f t="shared" si="100"/>
        <v>39000</v>
      </c>
      <c r="M206" s="94">
        <f t="shared" si="100"/>
        <v>39000</v>
      </c>
      <c r="N206" s="94">
        <f t="shared" si="100"/>
        <v>5000</v>
      </c>
      <c r="O206" s="94">
        <f t="shared" si="100"/>
        <v>24000</v>
      </c>
      <c r="P206" s="94">
        <f t="shared" si="100"/>
        <v>24000</v>
      </c>
      <c r="Q206" s="94">
        <f t="shared" si="100"/>
        <v>24000</v>
      </c>
      <c r="R206" s="94">
        <f t="shared" si="100"/>
        <v>0</v>
      </c>
      <c r="S206" s="94">
        <f t="shared" si="100"/>
        <v>0</v>
      </c>
      <c r="T206" s="94">
        <f t="shared" si="100"/>
        <v>0</v>
      </c>
      <c r="U206" s="94">
        <f t="shared" si="100"/>
        <v>0</v>
      </c>
      <c r="V206" s="51"/>
    </row>
    <row r="207" spans="1:22" s="97" customFormat="1" ht="47.25" x14ac:dyDescent="0.2">
      <c r="A207" s="47">
        <v>1</v>
      </c>
      <c r="B207" s="104" t="s">
        <v>482</v>
      </c>
      <c r="C207" s="47">
        <v>1</v>
      </c>
      <c r="D207" s="49" t="s">
        <v>73</v>
      </c>
      <c r="E207" s="49"/>
      <c r="F207" s="49" t="s">
        <v>483</v>
      </c>
      <c r="G207" s="49"/>
      <c r="H207" s="49"/>
      <c r="I207" s="49" t="s">
        <v>75</v>
      </c>
      <c r="J207" s="55" t="s">
        <v>484</v>
      </c>
      <c r="K207" s="92">
        <v>43036</v>
      </c>
      <c r="L207" s="51">
        <v>39000</v>
      </c>
      <c r="M207" s="51">
        <v>39000</v>
      </c>
      <c r="N207" s="99">
        <v>5000</v>
      </c>
      <c r="O207" s="51">
        <v>24000</v>
      </c>
      <c r="P207" s="51">
        <f t="shared" si="94"/>
        <v>24000</v>
      </c>
      <c r="Q207" s="51">
        <v>24000</v>
      </c>
      <c r="R207" s="51"/>
      <c r="S207" s="51"/>
      <c r="T207" s="51"/>
      <c r="U207" s="51"/>
      <c r="V207" s="96"/>
    </row>
    <row r="208" spans="1:22" x14ac:dyDescent="0.2">
      <c r="A208" s="74" t="s">
        <v>485</v>
      </c>
      <c r="B208" s="103" t="s">
        <v>42</v>
      </c>
      <c r="C208" s="74">
        <f>C209+C214</f>
        <v>5</v>
      </c>
      <c r="D208" s="75"/>
      <c r="E208" s="75"/>
      <c r="F208" s="75"/>
      <c r="G208" s="75"/>
      <c r="H208" s="75"/>
      <c r="I208" s="75"/>
      <c r="J208" s="75"/>
      <c r="K208" s="76">
        <f t="shared" ref="K208:U208" si="101">K209+K214</f>
        <v>454149.72399999999</v>
      </c>
      <c r="L208" s="76">
        <f t="shared" si="101"/>
        <v>412500</v>
      </c>
      <c r="M208" s="76">
        <f t="shared" si="101"/>
        <v>412500</v>
      </c>
      <c r="N208" s="76">
        <f t="shared" si="101"/>
        <v>179748</v>
      </c>
      <c r="O208" s="76">
        <f t="shared" si="101"/>
        <v>189700</v>
      </c>
      <c r="P208" s="76">
        <f t="shared" si="101"/>
        <v>231852</v>
      </c>
      <c r="Q208" s="76">
        <f t="shared" si="101"/>
        <v>0</v>
      </c>
      <c r="R208" s="76">
        <f t="shared" si="101"/>
        <v>231852</v>
      </c>
      <c r="S208" s="76">
        <f t="shared" si="101"/>
        <v>0</v>
      </c>
      <c r="T208" s="76">
        <f t="shared" si="101"/>
        <v>0</v>
      </c>
      <c r="U208" s="76">
        <f t="shared" si="101"/>
        <v>0</v>
      </c>
      <c r="V208" s="51"/>
    </row>
    <row r="209" spans="1:22" s="83" customFormat="1" x14ac:dyDescent="0.2">
      <c r="A209" s="47" t="s">
        <v>33</v>
      </c>
      <c r="B209" s="93" t="s">
        <v>475</v>
      </c>
      <c r="C209" s="78">
        <f>SUM(C210:C213)</f>
        <v>4</v>
      </c>
      <c r="D209" s="80">
        <v>0</v>
      </c>
      <c r="E209" s="80"/>
      <c r="F209" s="49"/>
      <c r="G209" s="49"/>
      <c r="H209" s="49"/>
      <c r="I209" s="49"/>
      <c r="J209" s="49"/>
      <c r="K209" s="94">
        <f t="shared" ref="K209:U209" si="102">SUM(K210:K213)</f>
        <v>391126.08600000001</v>
      </c>
      <c r="L209" s="94">
        <f t="shared" si="102"/>
        <v>354900</v>
      </c>
      <c r="M209" s="94">
        <f t="shared" si="102"/>
        <v>354900</v>
      </c>
      <c r="N209" s="94">
        <f t="shared" si="102"/>
        <v>179748</v>
      </c>
      <c r="O209" s="94">
        <f t="shared" si="102"/>
        <v>189700</v>
      </c>
      <c r="P209" s="94">
        <f t="shared" si="102"/>
        <v>175152</v>
      </c>
      <c r="Q209" s="94">
        <f t="shared" si="102"/>
        <v>0</v>
      </c>
      <c r="R209" s="94">
        <f t="shared" si="102"/>
        <v>175152</v>
      </c>
      <c r="S209" s="94">
        <f t="shared" si="102"/>
        <v>0</v>
      </c>
      <c r="T209" s="94">
        <f t="shared" si="102"/>
        <v>0</v>
      </c>
      <c r="U209" s="94">
        <f t="shared" si="102"/>
        <v>0</v>
      </c>
      <c r="V209" s="82"/>
    </row>
    <row r="210" spans="1:22" ht="47.25" x14ac:dyDescent="0.2">
      <c r="A210" s="47">
        <v>1</v>
      </c>
      <c r="B210" s="52" t="s">
        <v>486</v>
      </c>
      <c r="C210" s="47">
        <v>1</v>
      </c>
      <c r="D210" s="49" t="s">
        <v>93</v>
      </c>
      <c r="E210" s="49"/>
      <c r="F210" s="49" t="s">
        <v>487</v>
      </c>
      <c r="G210" s="49"/>
      <c r="H210" s="49"/>
      <c r="I210" s="49" t="s">
        <v>75</v>
      </c>
      <c r="J210" s="55" t="s">
        <v>488</v>
      </c>
      <c r="K210" s="51">
        <v>58690.703999999998</v>
      </c>
      <c r="L210" s="51">
        <v>53400</v>
      </c>
      <c r="M210" s="51">
        <v>53400</v>
      </c>
      <c r="N210" s="99">
        <v>50300</v>
      </c>
      <c r="O210" s="51">
        <v>16100</v>
      </c>
      <c r="P210" s="51">
        <f t="shared" si="94"/>
        <v>3100</v>
      </c>
      <c r="Q210" s="51"/>
      <c r="R210" s="51">
        <v>3100</v>
      </c>
      <c r="S210" s="51"/>
      <c r="T210" s="51"/>
      <c r="U210" s="51"/>
      <c r="V210" s="51"/>
    </row>
    <row r="211" spans="1:22" s="64" customFormat="1" ht="47.25" x14ac:dyDescent="0.2">
      <c r="A211" s="47">
        <v>2</v>
      </c>
      <c r="B211" s="52" t="s">
        <v>489</v>
      </c>
      <c r="C211" s="47">
        <v>1</v>
      </c>
      <c r="D211" s="49" t="s">
        <v>82</v>
      </c>
      <c r="E211" s="49"/>
      <c r="F211" s="49" t="s">
        <v>487</v>
      </c>
      <c r="G211" s="49"/>
      <c r="H211" s="49"/>
      <c r="I211" s="49" t="s">
        <v>74</v>
      </c>
      <c r="J211" s="55" t="s">
        <v>490</v>
      </c>
      <c r="K211" s="51">
        <v>138691.894</v>
      </c>
      <c r="L211" s="51">
        <v>124800</v>
      </c>
      <c r="M211" s="51">
        <v>124800</v>
      </c>
      <c r="N211" s="99">
        <v>52900</v>
      </c>
      <c r="O211" s="51">
        <v>71900</v>
      </c>
      <c r="P211" s="51">
        <f t="shared" si="94"/>
        <v>71900</v>
      </c>
      <c r="Q211" s="51"/>
      <c r="R211" s="51">
        <v>71900</v>
      </c>
      <c r="S211" s="51"/>
      <c r="T211" s="51"/>
      <c r="U211" s="51"/>
      <c r="V211" s="77"/>
    </row>
    <row r="212" spans="1:22" s="83" customFormat="1" ht="47.25" x14ac:dyDescent="0.2">
      <c r="A212" s="47">
        <v>3</v>
      </c>
      <c r="B212" s="52" t="s">
        <v>494</v>
      </c>
      <c r="C212" s="47">
        <v>1</v>
      </c>
      <c r="D212" s="49" t="s">
        <v>73</v>
      </c>
      <c r="E212" s="49"/>
      <c r="F212" s="49" t="s">
        <v>487</v>
      </c>
      <c r="G212" s="49"/>
      <c r="H212" s="49"/>
      <c r="I212" s="49" t="s">
        <v>74</v>
      </c>
      <c r="J212" s="55" t="s">
        <v>495</v>
      </c>
      <c r="K212" s="51">
        <v>85147.180999999997</v>
      </c>
      <c r="L212" s="51">
        <v>76600</v>
      </c>
      <c r="M212" s="51">
        <v>76600</v>
      </c>
      <c r="N212" s="99">
        <v>45000</v>
      </c>
      <c r="O212" s="51">
        <v>31600</v>
      </c>
      <c r="P212" s="51">
        <f t="shared" si="94"/>
        <v>31600</v>
      </c>
      <c r="Q212" s="51"/>
      <c r="R212" s="51">
        <v>31600</v>
      </c>
      <c r="S212" s="51"/>
      <c r="T212" s="51"/>
      <c r="U212" s="51"/>
      <c r="V212" s="82"/>
    </row>
    <row r="213" spans="1:22" ht="47.25" x14ac:dyDescent="0.2">
      <c r="A213" s="47">
        <v>4</v>
      </c>
      <c r="B213" s="52" t="s">
        <v>496</v>
      </c>
      <c r="C213" s="47">
        <v>1</v>
      </c>
      <c r="D213" s="49" t="s">
        <v>71</v>
      </c>
      <c r="E213" s="49"/>
      <c r="F213" s="49" t="s">
        <v>487</v>
      </c>
      <c r="G213" s="49"/>
      <c r="H213" s="49"/>
      <c r="I213" s="49" t="s">
        <v>75</v>
      </c>
      <c r="J213" s="55" t="s">
        <v>497</v>
      </c>
      <c r="K213" s="51">
        <v>108596.307</v>
      </c>
      <c r="L213" s="51">
        <v>100100</v>
      </c>
      <c r="M213" s="51">
        <v>100100</v>
      </c>
      <c r="N213" s="99">
        <f>31481+67</f>
        <v>31548</v>
      </c>
      <c r="O213" s="51">
        <v>70100</v>
      </c>
      <c r="P213" s="51">
        <f t="shared" si="94"/>
        <v>68552</v>
      </c>
      <c r="Q213" s="51"/>
      <c r="R213" s="51">
        <f>68619-67</f>
        <v>68552</v>
      </c>
      <c r="S213" s="51"/>
      <c r="T213" s="51"/>
      <c r="U213" s="51"/>
      <c r="V213" s="51"/>
    </row>
    <row r="214" spans="1:22" s="64" customFormat="1" x14ac:dyDescent="0.2">
      <c r="A214" s="78" t="s">
        <v>34</v>
      </c>
      <c r="B214" s="93" t="s">
        <v>474</v>
      </c>
      <c r="C214" s="78">
        <f>C215</f>
        <v>1</v>
      </c>
      <c r="D214" s="80"/>
      <c r="E214" s="80"/>
      <c r="F214" s="49"/>
      <c r="G214" s="49"/>
      <c r="H214" s="49"/>
      <c r="I214" s="49"/>
      <c r="J214" s="49"/>
      <c r="K214" s="94">
        <f t="shared" ref="K214:U214" si="103">K215</f>
        <v>63023.637999999999</v>
      </c>
      <c r="L214" s="94">
        <f t="shared" si="103"/>
        <v>57600</v>
      </c>
      <c r="M214" s="94">
        <f t="shared" si="103"/>
        <v>57600</v>
      </c>
      <c r="N214" s="94">
        <f t="shared" si="103"/>
        <v>0</v>
      </c>
      <c r="O214" s="94">
        <f t="shared" si="103"/>
        <v>0</v>
      </c>
      <c r="P214" s="94">
        <f t="shared" si="103"/>
        <v>56700</v>
      </c>
      <c r="Q214" s="94">
        <f t="shared" si="103"/>
        <v>0</v>
      </c>
      <c r="R214" s="94">
        <f t="shared" si="103"/>
        <v>56700</v>
      </c>
      <c r="S214" s="94">
        <f t="shared" si="103"/>
        <v>0</v>
      </c>
      <c r="T214" s="94">
        <f t="shared" si="103"/>
        <v>0</v>
      </c>
      <c r="U214" s="94">
        <f t="shared" si="103"/>
        <v>0</v>
      </c>
      <c r="V214" s="77"/>
    </row>
    <row r="215" spans="1:22" ht="47.25" x14ac:dyDescent="0.2">
      <c r="A215" s="47">
        <v>1</v>
      </c>
      <c r="B215" s="52" t="s">
        <v>491</v>
      </c>
      <c r="C215" s="47">
        <v>1</v>
      </c>
      <c r="D215" s="49" t="s">
        <v>299</v>
      </c>
      <c r="E215" s="49"/>
      <c r="F215" s="49" t="s">
        <v>492</v>
      </c>
      <c r="G215" s="49"/>
      <c r="H215" s="49"/>
      <c r="I215" s="49" t="s">
        <v>75</v>
      </c>
      <c r="J215" s="55" t="s">
        <v>493</v>
      </c>
      <c r="K215" s="51">
        <v>63023.637999999999</v>
      </c>
      <c r="L215" s="51">
        <v>57600</v>
      </c>
      <c r="M215" s="51">
        <v>57600</v>
      </c>
      <c r="N215" s="99">
        <v>0</v>
      </c>
      <c r="O215" s="51">
        <v>0</v>
      </c>
      <c r="P215" s="51">
        <f>SUM(Q215:U215)</f>
        <v>56700</v>
      </c>
      <c r="Q215" s="51"/>
      <c r="R215" s="51">
        <v>56700</v>
      </c>
      <c r="S215" s="51"/>
      <c r="T215" s="51"/>
      <c r="U215" s="51"/>
      <c r="V215" s="51"/>
    </row>
    <row r="216" spans="1:22" x14ac:dyDescent="0.2">
      <c r="A216" s="74" t="s">
        <v>498</v>
      </c>
      <c r="B216" s="53" t="s">
        <v>456</v>
      </c>
      <c r="C216" s="74">
        <f>C217</f>
        <v>1</v>
      </c>
      <c r="D216" s="75"/>
      <c r="E216" s="75"/>
      <c r="F216" s="75"/>
      <c r="G216" s="75"/>
      <c r="H216" s="75"/>
      <c r="I216" s="75"/>
      <c r="J216" s="75"/>
      <c r="K216" s="77">
        <f>K217</f>
        <v>39701.692000000003</v>
      </c>
      <c r="L216" s="77">
        <f t="shared" ref="L216:U216" si="104">L217</f>
        <v>35900</v>
      </c>
      <c r="M216" s="77">
        <f t="shared" si="104"/>
        <v>35900</v>
      </c>
      <c r="N216" s="77">
        <f t="shared" si="104"/>
        <v>5419</v>
      </c>
      <c r="O216" s="77">
        <f t="shared" si="104"/>
        <v>30900</v>
      </c>
      <c r="P216" s="77">
        <f t="shared" si="104"/>
        <v>29200</v>
      </c>
      <c r="Q216" s="77">
        <f t="shared" si="104"/>
        <v>0</v>
      </c>
      <c r="R216" s="77">
        <f t="shared" si="104"/>
        <v>29200</v>
      </c>
      <c r="S216" s="77">
        <f t="shared" si="104"/>
        <v>0</v>
      </c>
      <c r="T216" s="77">
        <f t="shared" si="104"/>
        <v>0</v>
      </c>
      <c r="U216" s="77">
        <f t="shared" si="104"/>
        <v>0</v>
      </c>
      <c r="V216" s="51"/>
    </row>
    <row r="217" spans="1:22" x14ac:dyDescent="0.2">
      <c r="A217" s="78" t="s">
        <v>33</v>
      </c>
      <c r="B217" s="79" t="s">
        <v>61</v>
      </c>
      <c r="C217" s="78">
        <f>C218+C223</f>
        <v>1</v>
      </c>
      <c r="D217" s="80"/>
      <c r="E217" s="80"/>
      <c r="F217" s="80"/>
      <c r="G217" s="80"/>
      <c r="H217" s="80"/>
      <c r="I217" s="80"/>
      <c r="J217" s="80"/>
      <c r="K217" s="82">
        <f>K218+K223</f>
        <v>39701.692000000003</v>
      </c>
      <c r="L217" s="82">
        <f t="shared" ref="L217:U217" si="105">L218+L223</f>
        <v>35900</v>
      </c>
      <c r="M217" s="82">
        <f t="shared" si="105"/>
        <v>35900</v>
      </c>
      <c r="N217" s="82">
        <f t="shared" si="105"/>
        <v>5419</v>
      </c>
      <c r="O217" s="82">
        <f t="shared" si="105"/>
        <v>30900</v>
      </c>
      <c r="P217" s="82">
        <f t="shared" si="105"/>
        <v>29200</v>
      </c>
      <c r="Q217" s="82">
        <f t="shared" si="105"/>
        <v>0</v>
      </c>
      <c r="R217" s="82">
        <f t="shared" si="105"/>
        <v>29200</v>
      </c>
      <c r="S217" s="82">
        <f t="shared" si="105"/>
        <v>0</v>
      </c>
      <c r="T217" s="82">
        <f t="shared" si="105"/>
        <v>0</v>
      </c>
      <c r="U217" s="82">
        <f t="shared" si="105"/>
        <v>0</v>
      </c>
      <c r="V217" s="51"/>
    </row>
    <row r="218" spans="1:22" hidden="1" x14ac:dyDescent="0.2">
      <c r="A218" s="78" t="s">
        <v>69</v>
      </c>
      <c r="B218" s="93" t="s">
        <v>474</v>
      </c>
      <c r="C218" s="78">
        <f>C219+C222</f>
        <v>0</v>
      </c>
      <c r="D218" s="80"/>
      <c r="E218" s="80"/>
      <c r="F218" s="49"/>
      <c r="G218" s="49"/>
      <c r="H218" s="49"/>
      <c r="I218" s="49"/>
      <c r="J218" s="49"/>
      <c r="K218" s="82">
        <f>K219+K222</f>
        <v>0</v>
      </c>
      <c r="L218" s="82">
        <f t="shared" ref="L218:U218" si="106">L219+L222</f>
        <v>0</v>
      </c>
      <c r="M218" s="82">
        <f t="shared" si="106"/>
        <v>0</v>
      </c>
      <c r="N218" s="82">
        <f t="shared" si="106"/>
        <v>0</v>
      </c>
      <c r="O218" s="82">
        <f t="shared" si="106"/>
        <v>0</v>
      </c>
      <c r="P218" s="82">
        <f t="shared" si="106"/>
        <v>0</v>
      </c>
      <c r="Q218" s="82">
        <f t="shared" si="106"/>
        <v>0</v>
      </c>
      <c r="R218" s="82">
        <f t="shared" si="106"/>
        <v>0</v>
      </c>
      <c r="S218" s="82">
        <f t="shared" si="106"/>
        <v>0</v>
      </c>
      <c r="T218" s="82">
        <f t="shared" si="106"/>
        <v>0</v>
      </c>
      <c r="U218" s="82">
        <f t="shared" si="106"/>
        <v>0</v>
      </c>
      <c r="V218" s="51"/>
    </row>
    <row r="219" spans="1:22" hidden="1" x14ac:dyDescent="0.2">
      <c r="A219" s="47"/>
      <c r="B219" s="52"/>
      <c r="C219" s="47"/>
      <c r="D219" s="49"/>
      <c r="E219" s="49"/>
      <c r="F219" s="297"/>
      <c r="G219" s="297"/>
      <c r="H219" s="297"/>
      <c r="I219" s="49"/>
      <c r="J219" s="298"/>
      <c r="K219" s="51"/>
      <c r="L219" s="51"/>
      <c r="M219" s="51"/>
      <c r="N219" s="99"/>
      <c r="O219" s="51"/>
      <c r="P219" s="51"/>
      <c r="Q219" s="92"/>
      <c r="R219" s="51"/>
      <c r="S219" s="51"/>
      <c r="T219" s="51"/>
      <c r="U219" s="51"/>
      <c r="V219" s="51"/>
    </row>
    <row r="220" spans="1:22" hidden="1" x14ac:dyDescent="0.2">
      <c r="A220" s="47"/>
      <c r="B220" s="52"/>
      <c r="C220" s="47"/>
      <c r="D220" s="49"/>
      <c r="E220" s="49"/>
      <c r="F220" s="49"/>
      <c r="G220" s="49"/>
      <c r="H220" s="49"/>
      <c r="I220" s="54"/>
      <c r="J220" s="105"/>
      <c r="K220" s="56"/>
      <c r="L220" s="51"/>
      <c r="M220" s="51"/>
      <c r="N220" s="99"/>
      <c r="O220" s="51"/>
      <c r="P220" s="51"/>
      <c r="Q220" s="51"/>
      <c r="R220" s="51"/>
      <c r="S220" s="51"/>
      <c r="T220" s="51"/>
      <c r="U220" s="51"/>
      <c r="V220" s="51"/>
    </row>
    <row r="221" spans="1:22" s="64" customFormat="1" hidden="1" x14ac:dyDescent="0.2">
      <c r="A221" s="47"/>
      <c r="B221" s="52"/>
      <c r="C221" s="47"/>
      <c r="D221" s="49"/>
      <c r="E221" s="49"/>
      <c r="F221" s="49"/>
      <c r="G221" s="49"/>
      <c r="H221" s="49"/>
      <c r="I221" s="54"/>
      <c r="J221" s="105"/>
      <c r="K221" s="56"/>
      <c r="L221" s="51"/>
      <c r="M221" s="51"/>
      <c r="N221" s="99"/>
      <c r="O221" s="51"/>
      <c r="P221" s="51"/>
      <c r="Q221" s="51"/>
      <c r="R221" s="51"/>
      <c r="S221" s="51"/>
      <c r="T221" s="51"/>
      <c r="U221" s="51"/>
      <c r="V221" s="77"/>
    </row>
    <row r="222" spans="1:22" s="83" customFormat="1" hidden="1" x14ac:dyDescent="0.2">
      <c r="A222" s="47"/>
      <c r="B222" s="52"/>
      <c r="C222" s="47"/>
      <c r="D222" s="49"/>
      <c r="E222" s="49"/>
      <c r="F222" s="49"/>
      <c r="G222" s="49"/>
      <c r="H222" s="49"/>
      <c r="I222" s="49"/>
      <c r="J222" s="49"/>
      <c r="K222" s="51"/>
      <c r="L222" s="51"/>
      <c r="M222" s="51"/>
      <c r="N222" s="99"/>
      <c r="O222" s="51"/>
      <c r="P222" s="51"/>
      <c r="Q222" s="51"/>
      <c r="R222" s="51"/>
      <c r="S222" s="51"/>
      <c r="T222" s="51"/>
      <c r="U222" s="51"/>
      <c r="V222" s="82"/>
    </row>
    <row r="223" spans="1:22" x14ac:dyDescent="0.2">
      <c r="A223" s="78" t="s">
        <v>69</v>
      </c>
      <c r="B223" s="93" t="s">
        <v>475</v>
      </c>
      <c r="C223" s="78">
        <f>C224</f>
        <v>1</v>
      </c>
      <c r="D223" s="80">
        <v>0</v>
      </c>
      <c r="E223" s="80"/>
      <c r="F223" s="49"/>
      <c r="G223" s="49"/>
      <c r="H223" s="49"/>
      <c r="I223" s="49"/>
      <c r="J223" s="49"/>
      <c r="K223" s="94">
        <f>K224</f>
        <v>39701.692000000003</v>
      </c>
      <c r="L223" s="94">
        <f t="shared" ref="L223:U223" si="107">L224</f>
        <v>35900</v>
      </c>
      <c r="M223" s="94">
        <f t="shared" si="107"/>
        <v>35900</v>
      </c>
      <c r="N223" s="94">
        <f t="shared" si="107"/>
        <v>5419</v>
      </c>
      <c r="O223" s="94">
        <f t="shared" si="107"/>
        <v>30900</v>
      </c>
      <c r="P223" s="94">
        <f t="shared" si="107"/>
        <v>29200</v>
      </c>
      <c r="Q223" s="94">
        <f t="shared" si="107"/>
        <v>0</v>
      </c>
      <c r="R223" s="94">
        <f t="shared" si="107"/>
        <v>29200</v>
      </c>
      <c r="S223" s="94">
        <f t="shared" si="107"/>
        <v>0</v>
      </c>
      <c r="T223" s="94">
        <f t="shared" si="107"/>
        <v>0</v>
      </c>
      <c r="U223" s="94">
        <f t="shared" si="107"/>
        <v>0</v>
      </c>
      <c r="V223" s="51"/>
    </row>
    <row r="224" spans="1:22" ht="88.5" customHeight="1" x14ac:dyDescent="0.2">
      <c r="A224" s="47">
        <v>1</v>
      </c>
      <c r="B224" s="52" t="s">
        <v>500</v>
      </c>
      <c r="C224" s="47">
        <v>1</v>
      </c>
      <c r="D224" s="49" t="s">
        <v>501</v>
      </c>
      <c r="E224" s="49"/>
      <c r="F224" s="49" t="s">
        <v>499</v>
      </c>
      <c r="G224" s="49"/>
      <c r="H224" s="49"/>
      <c r="I224" s="49" t="s">
        <v>75</v>
      </c>
      <c r="J224" s="55" t="s">
        <v>502</v>
      </c>
      <c r="K224" s="51">
        <v>39701.692000000003</v>
      </c>
      <c r="L224" s="51">
        <v>35900</v>
      </c>
      <c r="M224" s="51">
        <v>35900</v>
      </c>
      <c r="N224" s="99">
        <v>5419</v>
      </c>
      <c r="O224" s="51">
        <v>30900</v>
      </c>
      <c r="P224" s="51">
        <f t="shared" si="94"/>
        <v>29200</v>
      </c>
      <c r="Q224" s="51"/>
      <c r="R224" s="51">
        <v>29200</v>
      </c>
      <c r="S224" s="51"/>
      <c r="T224" s="51"/>
      <c r="U224" s="51"/>
      <c r="V224" s="51"/>
    </row>
    <row r="225" spans="1:22" hidden="1" x14ac:dyDescent="0.2">
      <c r="A225" s="74"/>
      <c r="B225" s="103"/>
      <c r="C225" s="74"/>
      <c r="D225" s="75"/>
      <c r="E225" s="75"/>
      <c r="F225" s="49"/>
      <c r="G225" s="49"/>
      <c r="H225" s="49"/>
      <c r="I225" s="49"/>
      <c r="J225" s="49"/>
      <c r="K225" s="77"/>
      <c r="L225" s="77"/>
      <c r="M225" s="77"/>
      <c r="N225" s="99"/>
      <c r="O225" s="77"/>
      <c r="P225" s="51">
        <f t="shared" si="94"/>
        <v>0</v>
      </c>
      <c r="Q225" s="77"/>
      <c r="R225" s="77"/>
      <c r="S225" s="77"/>
      <c r="T225" s="77"/>
      <c r="U225" s="77"/>
      <c r="V225" s="51"/>
    </row>
    <row r="226" spans="1:22" x14ac:dyDescent="0.2">
      <c r="A226" s="74" t="s">
        <v>687</v>
      </c>
      <c r="B226" s="103" t="s">
        <v>45</v>
      </c>
      <c r="C226" s="74">
        <f>C227</f>
        <v>10</v>
      </c>
      <c r="D226" s="75"/>
      <c r="E226" s="75"/>
      <c r="F226" s="75"/>
      <c r="G226" s="75"/>
      <c r="H226" s="75"/>
      <c r="I226" s="75"/>
      <c r="J226" s="75"/>
      <c r="K226" s="77">
        <f>K227</f>
        <v>41121.841999999997</v>
      </c>
      <c r="L226" s="77">
        <f t="shared" ref="L226:U226" si="108">L227</f>
        <v>40700</v>
      </c>
      <c r="M226" s="77">
        <f t="shared" si="108"/>
        <v>31350</v>
      </c>
      <c r="N226" s="77">
        <f t="shared" si="108"/>
        <v>9000</v>
      </c>
      <c r="O226" s="77">
        <f t="shared" si="108"/>
        <v>13350</v>
      </c>
      <c r="P226" s="77">
        <f t="shared" si="108"/>
        <v>21300</v>
      </c>
      <c r="Q226" s="77">
        <f t="shared" si="108"/>
        <v>0</v>
      </c>
      <c r="R226" s="77">
        <f t="shared" si="108"/>
        <v>21300</v>
      </c>
      <c r="S226" s="77">
        <f t="shared" si="108"/>
        <v>0</v>
      </c>
      <c r="T226" s="77">
        <f t="shared" si="108"/>
        <v>0</v>
      </c>
      <c r="U226" s="77">
        <f t="shared" si="108"/>
        <v>0</v>
      </c>
      <c r="V226" s="51"/>
    </row>
    <row r="227" spans="1:22" ht="47.25" x14ac:dyDescent="0.2">
      <c r="A227" s="78" t="s">
        <v>976</v>
      </c>
      <c r="B227" s="79" t="s">
        <v>504</v>
      </c>
      <c r="C227" s="78">
        <f>C228+C235</f>
        <v>10</v>
      </c>
      <c r="D227" s="80"/>
      <c r="E227" s="80"/>
      <c r="F227" s="80" t="s">
        <v>481</v>
      </c>
      <c r="G227" s="80"/>
      <c r="H227" s="80"/>
      <c r="I227" s="80" t="s">
        <v>90</v>
      </c>
      <c r="J227" s="80"/>
      <c r="K227" s="94">
        <f>K228+K235</f>
        <v>41121.841999999997</v>
      </c>
      <c r="L227" s="94">
        <f t="shared" ref="L227:U227" si="109">L228+L235</f>
        <v>40700</v>
      </c>
      <c r="M227" s="94">
        <f t="shared" si="109"/>
        <v>31350</v>
      </c>
      <c r="N227" s="94">
        <f t="shared" si="109"/>
        <v>9000</v>
      </c>
      <c r="O227" s="94">
        <f t="shared" si="109"/>
        <v>13350</v>
      </c>
      <c r="P227" s="94">
        <f t="shared" si="109"/>
        <v>21300</v>
      </c>
      <c r="Q227" s="94">
        <f t="shared" si="109"/>
        <v>0</v>
      </c>
      <c r="R227" s="94">
        <f t="shared" si="109"/>
        <v>21300</v>
      </c>
      <c r="S227" s="94">
        <f t="shared" si="109"/>
        <v>0</v>
      </c>
      <c r="T227" s="94">
        <f t="shared" si="109"/>
        <v>0</v>
      </c>
      <c r="U227" s="94">
        <f t="shared" si="109"/>
        <v>0</v>
      </c>
      <c r="V227" s="51"/>
    </row>
    <row r="228" spans="1:22" s="64" customFormat="1" x14ac:dyDescent="0.2">
      <c r="A228" s="78" t="s">
        <v>33</v>
      </c>
      <c r="B228" s="93" t="s">
        <v>475</v>
      </c>
      <c r="C228" s="78">
        <f>SUM(C229:C234)</f>
        <v>6</v>
      </c>
      <c r="D228" s="80">
        <v>0</v>
      </c>
      <c r="E228" s="80"/>
      <c r="F228" s="75"/>
      <c r="G228" s="75"/>
      <c r="H228" s="75"/>
      <c r="I228" s="75"/>
      <c r="J228" s="75"/>
      <c r="K228" s="82">
        <f>SUM(K229:K234)</f>
        <v>25072.923999999999</v>
      </c>
      <c r="L228" s="82">
        <f t="shared" ref="L228:U228" si="110">SUM(L229:L234)</f>
        <v>24900</v>
      </c>
      <c r="M228" s="82">
        <f t="shared" si="110"/>
        <v>21800</v>
      </c>
      <c r="N228" s="82">
        <f t="shared" si="110"/>
        <v>9000</v>
      </c>
      <c r="O228" s="82">
        <f t="shared" si="110"/>
        <v>3800</v>
      </c>
      <c r="P228" s="82">
        <f t="shared" si="110"/>
        <v>12400</v>
      </c>
      <c r="Q228" s="82">
        <f t="shared" si="110"/>
        <v>0</v>
      </c>
      <c r="R228" s="82">
        <f t="shared" si="110"/>
        <v>12400</v>
      </c>
      <c r="S228" s="82">
        <f t="shared" si="110"/>
        <v>0</v>
      </c>
      <c r="T228" s="82">
        <f t="shared" si="110"/>
        <v>0</v>
      </c>
      <c r="U228" s="82">
        <f t="shared" si="110"/>
        <v>0</v>
      </c>
      <c r="V228" s="77"/>
    </row>
    <row r="229" spans="1:22" ht="47.25" x14ac:dyDescent="0.2">
      <c r="A229" s="47">
        <v>1</v>
      </c>
      <c r="B229" s="52" t="s">
        <v>505</v>
      </c>
      <c r="C229" s="47">
        <v>1</v>
      </c>
      <c r="D229" s="49" t="s">
        <v>83</v>
      </c>
      <c r="E229" s="49"/>
      <c r="F229" s="49" t="s">
        <v>239</v>
      </c>
      <c r="G229" s="49"/>
      <c r="H229" s="49"/>
      <c r="I229" s="49" t="s">
        <v>75</v>
      </c>
      <c r="J229" s="55" t="s">
        <v>242</v>
      </c>
      <c r="K229" s="51">
        <v>4637.0990000000002</v>
      </c>
      <c r="L229" s="51">
        <v>4600</v>
      </c>
      <c r="M229" s="51">
        <v>4000</v>
      </c>
      <c r="N229" s="99">
        <v>200</v>
      </c>
      <c r="O229" s="51">
        <v>3800</v>
      </c>
      <c r="P229" s="51">
        <f t="shared" si="94"/>
        <v>3800</v>
      </c>
      <c r="Q229" s="51"/>
      <c r="R229" s="51">
        <v>3800</v>
      </c>
      <c r="S229" s="51"/>
      <c r="T229" s="51"/>
      <c r="U229" s="51"/>
      <c r="V229" s="51"/>
    </row>
    <row r="230" spans="1:22" ht="78.75" x14ac:dyDescent="0.2">
      <c r="A230" s="47">
        <v>2</v>
      </c>
      <c r="B230" s="52" t="s">
        <v>506</v>
      </c>
      <c r="C230" s="47">
        <v>1</v>
      </c>
      <c r="D230" s="49" t="s">
        <v>123</v>
      </c>
      <c r="E230" s="49"/>
      <c r="F230" s="49" t="s">
        <v>507</v>
      </c>
      <c r="G230" s="49"/>
      <c r="H230" s="49"/>
      <c r="I230" s="49" t="s">
        <v>75</v>
      </c>
      <c r="J230" s="49" t="s">
        <v>971</v>
      </c>
      <c r="K230" s="51">
        <v>5430</v>
      </c>
      <c r="L230" s="51">
        <v>5400</v>
      </c>
      <c r="M230" s="51">
        <v>5000</v>
      </c>
      <c r="N230" s="99">
        <v>900</v>
      </c>
      <c r="O230" s="51">
        <v>0</v>
      </c>
      <c r="P230" s="51">
        <f t="shared" si="94"/>
        <v>4100</v>
      </c>
      <c r="Q230" s="51"/>
      <c r="R230" s="51">
        <v>4100</v>
      </c>
      <c r="S230" s="51"/>
      <c r="T230" s="51"/>
      <c r="U230" s="51"/>
      <c r="V230" s="51"/>
    </row>
    <row r="231" spans="1:22" s="64" customFormat="1" ht="63" x14ac:dyDescent="0.2">
      <c r="A231" s="47">
        <v>3</v>
      </c>
      <c r="B231" s="52" t="s">
        <v>508</v>
      </c>
      <c r="C231" s="47">
        <v>1</v>
      </c>
      <c r="D231" s="49" t="s">
        <v>84</v>
      </c>
      <c r="E231" s="49"/>
      <c r="F231" s="49" t="s">
        <v>180</v>
      </c>
      <c r="G231" s="49"/>
      <c r="H231" s="49"/>
      <c r="I231" s="49" t="s">
        <v>75</v>
      </c>
      <c r="J231" s="49" t="s">
        <v>972</v>
      </c>
      <c r="K231" s="51">
        <v>6434.8289999999997</v>
      </c>
      <c r="L231" s="51">
        <v>6400</v>
      </c>
      <c r="M231" s="51">
        <v>5000</v>
      </c>
      <c r="N231" s="99">
        <v>3900</v>
      </c>
      <c r="O231" s="51">
        <v>0</v>
      </c>
      <c r="P231" s="51">
        <f t="shared" si="94"/>
        <v>1100</v>
      </c>
      <c r="Q231" s="51"/>
      <c r="R231" s="51">
        <v>1100</v>
      </c>
      <c r="S231" s="51"/>
      <c r="T231" s="51"/>
      <c r="U231" s="51"/>
      <c r="V231" s="77"/>
    </row>
    <row r="232" spans="1:22" s="97" customFormat="1" ht="47.25" x14ac:dyDescent="0.2">
      <c r="A232" s="47">
        <v>4</v>
      </c>
      <c r="B232" s="52" t="s">
        <v>509</v>
      </c>
      <c r="C232" s="47">
        <v>1</v>
      </c>
      <c r="D232" s="49" t="s">
        <v>123</v>
      </c>
      <c r="E232" s="49"/>
      <c r="F232" s="49" t="s">
        <v>507</v>
      </c>
      <c r="G232" s="49"/>
      <c r="H232" s="49"/>
      <c r="I232" s="49" t="s">
        <v>75</v>
      </c>
      <c r="J232" s="49" t="s">
        <v>973</v>
      </c>
      <c r="K232" s="51">
        <v>2611</v>
      </c>
      <c r="L232" s="51">
        <v>2600</v>
      </c>
      <c r="M232" s="51">
        <v>2600</v>
      </c>
      <c r="N232" s="99">
        <v>1200</v>
      </c>
      <c r="O232" s="51">
        <v>0</v>
      </c>
      <c r="P232" s="51">
        <f t="shared" si="94"/>
        <v>1400</v>
      </c>
      <c r="Q232" s="51"/>
      <c r="R232" s="51">
        <v>1400</v>
      </c>
      <c r="S232" s="51"/>
      <c r="T232" s="51"/>
      <c r="U232" s="51"/>
      <c r="V232" s="96"/>
    </row>
    <row r="233" spans="1:22" ht="47.25" x14ac:dyDescent="0.2">
      <c r="A233" s="47">
        <v>5</v>
      </c>
      <c r="B233" s="52" t="s">
        <v>510</v>
      </c>
      <c r="C233" s="47">
        <v>1</v>
      </c>
      <c r="D233" s="49" t="s">
        <v>123</v>
      </c>
      <c r="E233" s="49"/>
      <c r="F233" s="49" t="s">
        <v>507</v>
      </c>
      <c r="G233" s="49"/>
      <c r="H233" s="49"/>
      <c r="I233" s="49" t="s">
        <v>75</v>
      </c>
      <c r="J233" s="49" t="s">
        <v>974</v>
      </c>
      <c r="K233" s="51">
        <v>2658</v>
      </c>
      <c r="L233" s="51">
        <v>2600</v>
      </c>
      <c r="M233" s="51">
        <v>2600</v>
      </c>
      <c r="N233" s="99">
        <v>1600</v>
      </c>
      <c r="O233" s="51">
        <v>0</v>
      </c>
      <c r="P233" s="51">
        <f t="shared" si="94"/>
        <v>1000</v>
      </c>
      <c r="Q233" s="51"/>
      <c r="R233" s="51">
        <v>1000</v>
      </c>
      <c r="S233" s="51"/>
      <c r="T233" s="51"/>
      <c r="U233" s="51"/>
      <c r="V233" s="51"/>
    </row>
    <row r="234" spans="1:22" ht="89.25" customHeight="1" x14ac:dyDescent="0.2">
      <c r="A234" s="47">
        <v>6</v>
      </c>
      <c r="B234" s="52" t="s">
        <v>991</v>
      </c>
      <c r="C234" s="47">
        <v>1</v>
      </c>
      <c r="D234" s="49" t="s">
        <v>123</v>
      </c>
      <c r="E234" s="49"/>
      <c r="F234" s="49" t="s">
        <v>507</v>
      </c>
      <c r="G234" s="49"/>
      <c r="H234" s="49"/>
      <c r="I234" s="49" t="s">
        <v>75</v>
      </c>
      <c r="J234" s="49" t="s">
        <v>992</v>
      </c>
      <c r="K234" s="51">
        <v>3301.9960000000001</v>
      </c>
      <c r="L234" s="51">
        <v>3300</v>
      </c>
      <c r="M234" s="51">
        <v>2600</v>
      </c>
      <c r="N234" s="99">
        <v>1200</v>
      </c>
      <c r="O234" s="51">
        <v>0</v>
      </c>
      <c r="P234" s="51">
        <f t="shared" si="94"/>
        <v>1000</v>
      </c>
      <c r="Q234" s="51"/>
      <c r="R234" s="51">
        <v>1000</v>
      </c>
      <c r="S234" s="51"/>
      <c r="T234" s="51"/>
      <c r="U234" s="51"/>
      <c r="V234" s="51"/>
    </row>
    <row r="235" spans="1:22" s="64" customFormat="1" x14ac:dyDescent="0.2">
      <c r="A235" s="78" t="s">
        <v>34</v>
      </c>
      <c r="B235" s="93" t="s">
        <v>474</v>
      </c>
      <c r="C235" s="78">
        <f>SUM(C236:C239)</f>
        <v>4</v>
      </c>
      <c r="D235" s="75"/>
      <c r="E235" s="75"/>
      <c r="F235" s="75"/>
      <c r="G235" s="75"/>
      <c r="H235" s="75"/>
      <c r="I235" s="75"/>
      <c r="J235" s="75"/>
      <c r="K235" s="82">
        <f>SUM(K236:K239)</f>
        <v>16048.918</v>
      </c>
      <c r="L235" s="82">
        <f t="shared" ref="L235:U235" si="111">SUM(L236:L239)</f>
        <v>15800</v>
      </c>
      <c r="M235" s="82">
        <f t="shared" si="111"/>
        <v>9550</v>
      </c>
      <c r="N235" s="82">
        <f t="shared" si="111"/>
        <v>0</v>
      </c>
      <c r="O235" s="82">
        <f t="shared" si="111"/>
        <v>9550</v>
      </c>
      <c r="P235" s="82">
        <f t="shared" si="111"/>
        <v>8900</v>
      </c>
      <c r="Q235" s="82">
        <f t="shared" si="111"/>
        <v>0</v>
      </c>
      <c r="R235" s="82">
        <f t="shared" si="111"/>
        <v>8900</v>
      </c>
      <c r="S235" s="82">
        <f t="shared" si="111"/>
        <v>0</v>
      </c>
      <c r="T235" s="82">
        <f t="shared" si="111"/>
        <v>0</v>
      </c>
      <c r="U235" s="82">
        <f t="shared" si="111"/>
        <v>0</v>
      </c>
      <c r="V235" s="77"/>
    </row>
    <row r="236" spans="1:22" ht="70.5" customHeight="1" x14ac:dyDescent="0.2">
      <c r="A236" s="47">
        <v>1</v>
      </c>
      <c r="B236" s="52" t="s">
        <v>511</v>
      </c>
      <c r="C236" s="47">
        <v>1</v>
      </c>
      <c r="D236" s="49" t="s">
        <v>100</v>
      </c>
      <c r="E236" s="49"/>
      <c r="F236" s="49" t="s">
        <v>512</v>
      </c>
      <c r="G236" s="49"/>
      <c r="H236" s="49"/>
      <c r="I236" s="49" t="s">
        <v>284</v>
      </c>
      <c r="J236" s="55" t="s">
        <v>513</v>
      </c>
      <c r="K236" s="51">
        <v>3258.596</v>
      </c>
      <c r="L236" s="51">
        <v>3200</v>
      </c>
      <c r="M236" s="51">
        <v>2900</v>
      </c>
      <c r="N236" s="99">
        <v>0</v>
      </c>
      <c r="O236" s="51">
        <v>2900</v>
      </c>
      <c r="P236" s="51">
        <f t="shared" si="94"/>
        <v>2900</v>
      </c>
      <c r="Q236" s="51"/>
      <c r="R236" s="51">
        <v>2900</v>
      </c>
      <c r="S236" s="51"/>
      <c r="T236" s="51"/>
      <c r="U236" s="51"/>
      <c r="V236" s="51"/>
    </row>
    <row r="237" spans="1:22" ht="69.75" customHeight="1" x14ac:dyDescent="0.2">
      <c r="A237" s="47">
        <v>2</v>
      </c>
      <c r="B237" s="52" t="s">
        <v>514</v>
      </c>
      <c r="C237" s="47">
        <v>1</v>
      </c>
      <c r="D237" s="49" t="s">
        <v>100</v>
      </c>
      <c r="E237" s="49"/>
      <c r="F237" s="49" t="s">
        <v>512</v>
      </c>
      <c r="G237" s="49"/>
      <c r="H237" s="49"/>
      <c r="I237" s="49" t="s">
        <v>284</v>
      </c>
      <c r="J237" s="55" t="s">
        <v>515</v>
      </c>
      <c r="K237" s="51">
        <v>1924.3219999999999</v>
      </c>
      <c r="L237" s="51">
        <v>1900</v>
      </c>
      <c r="M237" s="51">
        <v>2450</v>
      </c>
      <c r="N237" s="99">
        <v>0</v>
      </c>
      <c r="O237" s="51">
        <v>2450</v>
      </c>
      <c r="P237" s="51">
        <f t="shared" si="94"/>
        <v>1800</v>
      </c>
      <c r="Q237" s="51"/>
      <c r="R237" s="51">
        <v>1800</v>
      </c>
      <c r="S237" s="51"/>
      <c r="T237" s="51"/>
      <c r="U237" s="51"/>
      <c r="V237" s="51"/>
    </row>
    <row r="238" spans="1:22" ht="116.25" customHeight="1" x14ac:dyDescent="0.2">
      <c r="A238" s="47">
        <v>3</v>
      </c>
      <c r="B238" s="48" t="s">
        <v>516</v>
      </c>
      <c r="C238" s="47">
        <v>1</v>
      </c>
      <c r="D238" s="49" t="s">
        <v>192</v>
      </c>
      <c r="E238" s="49"/>
      <c r="F238" s="49" t="s">
        <v>517</v>
      </c>
      <c r="G238" s="49"/>
      <c r="H238" s="49"/>
      <c r="I238" s="49" t="s">
        <v>975</v>
      </c>
      <c r="J238" s="55" t="s">
        <v>688</v>
      </c>
      <c r="K238" s="51">
        <v>6993</v>
      </c>
      <c r="L238" s="51">
        <v>6900</v>
      </c>
      <c r="M238" s="51">
        <v>3000</v>
      </c>
      <c r="N238" s="99">
        <v>0</v>
      </c>
      <c r="O238" s="51">
        <v>3000</v>
      </c>
      <c r="P238" s="51">
        <f t="shared" si="94"/>
        <v>3000</v>
      </c>
      <c r="Q238" s="51"/>
      <c r="R238" s="51">
        <v>3000</v>
      </c>
      <c r="S238" s="51"/>
      <c r="T238" s="51"/>
      <c r="U238" s="51"/>
      <c r="V238" s="51"/>
    </row>
    <row r="239" spans="1:22" ht="117" customHeight="1" x14ac:dyDescent="0.2">
      <c r="A239" s="47">
        <v>4</v>
      </c>
      <c r="B239" s="48" t="s">
        <v>518</v>
      </c>
      <c r="C239" s="47">
        <v>1</v>
      </c>
      <c r="D239" s="49" t="s">
        <v>192</v>
      </c>
      <c r="E239" s="49"/>
      <c r="F239" s="49" t="s">
        <v>517</v>
      </c>
      <c r="G239" s="49"/>
      <c r="H239" s="49"/>
      <c r="I239" s="49" t="s">
        <v>975</v>
      </c>
      <c r="J239" s="55" t="s">
        <v>689</v>
      </c>
      <c r="K239" s="51">
        <v>3873</v>
      </c>
      <c r="L239" s="51">
        <v>3800</v>
      </c>
      <c r="M239" s="51">
        <v>1200</v>
      </c>
      <c r="N239" s="99">
        <v>0</v>
      </c>
      <c r="O239" s="51">
        <v>1200</v>
      </c>
      <c r="P239" s="51">
        <f t="shared" si="94"/>
        <v>1200</v>
      </c>
      <c r="Q239" s="51"/>
      <c r="R239" s="51">
        <v>1200</v>
      </c>
      <c r="S239" s="51"/>
      <c r="T239" s="51"/>
      <c r="U239" s="51"/>
      <c r="V239" s="51"/>
    </row>
    <row r="240" spans="1:22" x14ac:dyDescent="0.2">
      <c r="A240" s="74" t="s">
        <v>503</v>
      </c>
      <c r="B240" s="53" t="s">
        <v>226</v>
      </c>
      <c r="C240" s="74">
        <f>C241</f>
        <v>2</v>
      </c>
      <c r="D240" s="75"/>
      <c r="E240" s="75"/>
      <c r="F240" s="75"/>
      <c r="G240" s="75"/>
      <c r="H240" s="75"/>
      <c r="I240" s="75"/>
      <c r="J240" s="75"/>
      <c r="K240" s="77">
        <f>K241</f>
        <v>725745.85400000005</v>
      </c>
      <c r="L240" s="77">
        <f t="shared" ref="L240:U240" si="112">L241</f>
        <v>653900</v>
      </c>
      <c r="M240" s="77">
        <f t="shared" si="112"/>
        <v>492056</v>
      </c>
      <c r="N240" s="77">
        <f t="shared" si="112"/>
        <v>436257</v>
      </c>
      <c r="O240" s="77">
        <f t="shared" si="112"/>
        <v>26500</v>
      </c>
      <c r="P240" s="77">
        <f t="shared" si="112"/>
        <v>32300</v>
      </c>
      <c r="Q240" s="77">
        <f t="shared" si="112"/>
        <v>5800</v>
      </c>
      <c r="R240" s="77">
        <f t="shared" si="112"/>
        <v>26500</v>
      </c>
      <c r="S240" s="77">
        <f t="shared" si="112"/>
        <v>0</v>
      </c>
      <c r="T240" s="77">
        <f t="shared" si="112"/>
        <v>0</v>
      </c>
      <c r="U240" s="77">
        <f t="shared" si="112"/>
        <v>0</v>
      </c>
      <c r="V240" s="51"/>
    </row>
    <row r="241" spans="1:22" x14ac:dyDescent="0.2">
      <c r="A241" s="78" t="s">
        <v>33</v>
      </c>
      <c r="B241" s="79" t="s">
        <v>46</v>
      </c>
      <c r="C241" s="78">
        <f>C242+C244+C246</f>
        <v>2</v>
      </c>
      <c r="D241" s="80"/>
      <c r="E241" s="80"/>
      <c r="F241" s="80"/>
      <c r="G241" s="80"/>
      <c r="H241" s="80"/>
      <c r="I241" s="80"/>
      <c r="J241" s="80"/>
      <c r="K241" s="82">
        <f>K242+K244+K246</f>
        <v>725745.85400000005</v>
      </c>
      <c r="L241" s="82">
        <f t="shared" ref="L241:U241" si="113">L242+L244+L246</f>
        <v>653900</v>
      </c>
      <c r="M241" s="82">
        <f t="shared" si="113"/>
        <v>492056</v>
      </c>
      <c r="N241" s="82">
        <f t="shared" si="113"/>
        <v>436257</v>
      </c>
      <c r="O241" s="82">
        <f t="shared" si="113"/>
        <v>26500</v>
      </c>
      <c r="P241" s="82">
        <f t="shared" si="113"/>
        <v>32300</v>
      </c>
      <c r="Q241" s="82">
        <f t="shared" si="113"/>
        <v>5800</v>
      </c>
      <c r="R241" s="82">
        <f t="shared" si="113"/>
        <v>26500</v>
      </c>
      <c r="S241" s="82">
        <f t="shared" si="113"/>
        <v>0</v>
      </c>
      <c r="T241" s="82">
        <f t="shared" si="113"/>
        <v>0</v>
      </c>
      <c r="U241" s="82">
        <f t="shared" si="113"/>
        <v>0</v>
      </c>
      <c r="V241" s="51"/>
    </row>
    <row r="242" spans="1:22" x14ac:dyDescent="0.2">
      <c r="A242" s="78" t="s">
        <v>69</v>
      </c>
      <c r="B242" s="93" t="s">
        <v>520</v>
      </c>
      <c r="C242" s="78">
        <f>C243</f>
        <v>1</v>
      </c>
      <c r="D242" s="80">
        <v>0</v>
      </c>
      <c r="E242" s="80"/>
      <c r="F242" s="80"/>
      <c r="G242" s="80"/>
      <c r="H242" s="80"/>
      <c r="I242" s="80"/>
      <c r="J242" s="80"/>
      <c r="K242" s="82">
        <f>K243</f>
        <v>663704</v>
      </c>
      <c r="L242" s="82">
        <f t="shared" ref="L242:U242" si="114">L243</f>
        <v>598000</v>
      </c>
      <c r="M242" s="82">
        <f t="shared" si="114"/>
        <v>436156</v>
      </c>
      <c r="N242" s="82">
        <f t="shared" si="114"/>
        <v>397309</v>
      </c>
      <c r="O242" s="82">
        <f t="shared" si="114"/>
        <v>26500</v>
      </c>
      <c r="P242" s="82">
        <f t="shared" si="114"/>
        <v>26500</v>
      </c>
      <c r="Q242" s="82">
        <f t="shared" si="114"/>
        <v>0</v>
      </c>
      <c r="R242" s="82">
        <f t="shared" si="114"/>
        <v>26500</v>
      </c>
      <c r="S242" s="82">
        <f t="shared" si="114"/>
        <v>0</v>
      </c>
      <c r="T242" s="82">
        <f t="shared" si="114"/>
        <v>0</v>
      </c>
      <c r="U242" s="82">
        <f t="shared" si="114"/>
        <v>0</v>
      </c>
      <c r="V242" s="51"/>
    </row>
    <row r="243" spans="1:22" ht="138" customHeight="1" x14ac:dyDescent="0.2">
      <c r="A243" s="47">
        <v>1</v>
      </c>
      <c r="B243" s="52" t="s">
        <v>990</v>
      </c>
      <c r="C243" s="47">
        <v>1</v>
      </c>
      <c r="D243" s="49" t="s">
        <v>521</v>
      </c>
      <c r="E243" s="49"/>
      <c r="F243" s="49" t="s">
        <v>522</v>
      </c>
      <c r="G243" s="49"/>
      <c r="H243" s="49"/>
      <c r="I243" s="49" t="s">
        <v>989</v>
      </c>
      <c r="J243" s="55" t="s">
        <v>523</v>
      </c>
      <c r="K243" s="51">
        <v>663704</v>
      </c>
      <c r="L243" s="51">
        <v>598000</v>
      </c>
      <c r="M243" s="51">
        <v>436156</v>
      </c>
      <c r="N243" s="99">
        <v>397309</v>
      </c>
      <c r="O243" s="51">
        <v>26500</v>
      </c>
      <c r="P243" s="51">
        <f t="shared" si="94"/>
        <v>26500</v>
      </c>
      <c r="Q243" s="51"/>
      <c r="R243" s="51">
        <v>26500</v>
      </c>
      <c r="S243" s="51"/>
      <c r="T243" s="51"/>
      <c r="U243" s="51"/>
      <c r="V243" s="51"/>
    </row>
    <row r="244" spans="1:22" x14ac:dyDescent="0.2">
      <c r="A244" s="78" t="s">
        <v>81</v>
      </c>
      <c r="B244" s="93" t="s">
        <v>475</v>
      </c>
      <c r="C244" s="78">
        <v>1</v>
      </c>
      <c r="D244" s="80">
        <v>0</v>
      </c>
      <c r="E244" s="80"/>
      <c r="F244" s="80"/>
      <c r="G244" s="80"/>
      <c r="H244" s="80"/>
      <c r="I244" s="80"/>
      <c r="J244" s="80"/>
      <c r="K244" s="82">
        <f>K245</f>
        <v>62041.853999999999</v>
      </c>
      <c r="L244" s="82">
        <f t="shared" ref="L244:U244" si="115">L245</f>
        <v>55900</v>
      </c>
      <c r="M244" s="82">
        <f t="shared" si="115"/>
        <v>55900</v>
      </c>
      <c r="N244" s="82">
        <f t="shared" si="115"/>
        <v>38948</v>
      </c>
      <c r="O244" s="82">
        <f t="shared" si="115"/>
        <v>0</v>
      </c>
      <c r="P244" s="82">
        <f t="shared" si="115"/>
        <v>5800</v>
      </c>
      <c r="Q244" s="82">
        <f t="shared" si="115"/>
        <v>5800</v>
      </c>
      <c r="R244" s="82">
        <f t="shared" si="115"/>
        <v>0</v>
      </c>
      <c r="S244" s="82">
        <f t="shared" si="115"/>
        <v>0</v>
      </c>
      <c r="T244" s="82">
        <f t="shared" si="115"/>
        <v>0</v>
      </c>
      <c r="U244" s="82">
        <f t="shared" si="115"/>
        <v>0</v>
      </c>
      <c r="V244" s="51"/>
    </row>
    <row r="245" spans="1:22" s="64" customFormat="1" ht="63" x14ac:dyDescent="0.2">
      <c r="A245" s="47">
        <v>1</v>
      </c>
      <c r="B245" s="52" t="s">
        <v>524</v>
      </c>
      <c r="C245" s="47">
        <v>1</v>
      </c>
      <c r="D245" s="49" t="s">
        <v>82</v>
      </c>
      <c r="E245" s="49"/>
      <c r="F245" s="49" t="s">
        <v>227</v>
      </c>
      <c r="G245" s="49"/>
      <c r="H245" s="49"/>
      <c r="I245" s="49" t="s">
        <v>75</v>
      </c>
      <c r="J245" s="55" t="s">
        <v>525</v>
      </c>
      <c r="K245" s="51">
        <v>62041.853999999999</v>
      </c>
      <c r="L245" s="51">
        <v>55900</v>
      </c>
      <c r="M245" s="51">
        <v>55900</v>
      </c>
      <c r="N245" s="99">
        <v>38948</v>
      </c>
      <c r="O245" s="51">
        <v>0</v>
      </c>
      <c r="P245" s="51">
        <f t="shared" si="94"/>
        <v>5800</v>
      </c>
      <c r="Q245" s="51">
        <v>5800</v>
      </c>
      <c r="R245" s="51"/>
      <c r="S245" s="51"/>
      <c r="T245" s="51"/>
      <c r="U245" s="51"/>
      <c r="V245" s="77"/>
    </row>
    <row r="246" spans="1:22" s="83" customFormat="1" hidden="1" x14ac:dyDescent="0.2">
      <c r="A246" s="78" t="s">
        <v>104</v>
      </c>
      <c r="B246" s="93" t="s">
        <v>474</v>
      </c>
      <c r="C246" s="78">
        <f>C248</f>
        <v>0</v>
      </c>
      <c r="D246" s="80"/>
      <c r="E246" s="80"/>
      <c r="F246" s="49"/>
      <c r="G246" s="49"/>
      <c r="H246" s="49"/>
      <c r="I246" s="49"/>
      <c r="J246" s="49"/>
      <c r="K246" s="82">
        <f>K248</f>
        <v>0</v>
      </c>
      <c r="L246" s="82">
        <f t="shared" ref="L246:U246" si="116">L248</f>
        <v>0</v>
      </c>
      <c r="M246" s="82">
        <f t="shared" si="116"/>
        <v>0</v>
      </c>
      <c r="N246" s="82">
        <f t="shared" si="116"/>
        <v>0</v>
      </c>
      <c r="O246" s="82">
        <f t="shared" si="116"/>
        <v>0</v>
      </c>
      <c r="P246" s="82">
        <f t="shared" si="116"/>
        <v>0</v>
      </c>
      <c r="Q246" s="82">
        <f t="shared" si="116"/>
        <v>0</v>
      </c>
      <c r="R246" s="82">
        <f t="shared" si="116"/>
        <v>0</v>
      </c>
      <c r="S246" s="82">
        <f t="shared" si="116"/>
        <v>0</v>
      </c>
      <c r="T246" s="82">
        <f t="shared" si="116"/>
        <v>0</v>
      </c>
      <c r="U246" s="82">
        <f t="shared" si="116"/>
        <v>0</v>
      </c>
      <c r="V246" s="82"/>
    </row>
    <row r="247" spans="1:22" s="83" customFormat="1" hidden="1" x14ac:dyDescent="0.2">
      <c r="A247" s="47"/>
      <c r="B247" s="52"/>
      <c r="C247" s="47"/>
      <c r="D247" s="49"/>
      <c r="E247" s="49"/>
      <c r="F247" s="49"/>
      <c r="G247" s="49"/>
      <c r="H247" s="49"/>
      <c r="I247" s="49"/>
      <c r="J247" s="49"/>
      <c r="K247" s="58"/>
      <c r="L247" s="51"/>
      <c r="M247" s="51"/>
      <c r="N247" s="99"/>
      <c r="O247" s="51"/>
      <c r="P247" s="51">
        <f t="shared" si="94"/>
        <v>0</v>
      </c>
      <c r="Q247" s="51"/>
      <c r="R247" s="51"/>
      <c r="S247" s="51"/>
      <c r="T247" s="51"/>
      <c r="U247" s="51"/>
      <c r="V247" s="82"/>
    </row>
    <row r="248" spans="1:22" hidden="1" x14ac:dyDescent="0.2">
      <c r="A248" s="47"/>
      <c r="B248" s="52"/>
      <c r="C248" s="47"/>
      <c r="D248" s="49"/>
      <c r="E248" s="49"/>
      <c r="F248" s="49"/>
      <c r="G248" s="49"/>
      <c r="H248" s="49"/>
      <c r="I248" s="49"/>
      <c r="J248" s="163"/>
      <c r="K248" s="51"/>
      <c r="L248" s="51"/>
      <c r="M248" s="51"/>
      <c r="N248" s="99"/>
      <c r="O248" s="51"/>
      <c r="P248" s="51"/>
      <c r="Q248" s="51"/>
      <c r="R248" s="51"/>
      <c r="S248" s="51"/>
      <c r="T248" s="51"/>
      <c r="U248" s="51"/>
      <c r="V248" s="51"/>
    </row>
    <row r="249" spans="1:22" s="83" customFormat="1" x14ac:dyDescent="0.2">
      <c r="A249" s="74" t="s">
        <v>690</v>
      </c>
      <c r="B249" s="53" t="s">
        <v>64</v>
      </c>
      <c r="C249" s="74">
        <f>C250+C272+C299+C308+C313</f>
        <v>65</v>
      </c>
      <c r="D249" s="75"/>
      <c r="E249" s="75"/>
      <c r="F249" s="75"/>
      <c r="G249" s="75"/>
      <c r="H249" s="75"/>
      <c r="I249" s="75"/>
      <c r="J249" s="75"/>
      <c r="K249" s="76">
        <f t="shared" ref="K249:U249" si="117">K250+K272+K299+K308+K313</f>
        <v>15799475.496000001</v>
      </c>
      <c r="L249" s="76">
        <f t="shared" si="117"/>
        <v>12293740</v>
      </c>
      <c r="M249" s="76">
        <f t="shared" si="117"/>
        <v>11128327</v>
      </c>
      <c r="N249" s="76">
        <f t="shared" si="117"/>
        <v>4828685</v>
      </c>
      <c r="O249" s="76">
        <f t="shared" si="117"/>
        <v>3651857</v>
      </c>
      <c r="P249" s="76">
        <f t="shared" si="117"/>
        <v>3481129</v>
      </c>
      <c r="Q249" s="76">
        <f t="shared" si="117"/>
        <v>352786</v>
      </c>
      <c r="R249" s="76">
        <f t="shared" si="117"/>
        <v>766068</v>
      </c>
      <c r="S249" s="76">
        <f t="shared" si="117"/>
        <v>1809275</v>
      </c>
      <c r="T249" s="76">
        <f t="shared" si="117"/>
        <v>0</v>
      </c>
      <c r="U249" s="76">
        <f t="shared" si="117"/>
        <v>553000</v>
      </c>
      <c r="V249" s="82"/>
    </row>
    <row r="250" spans="1:22" ht="31.5" x14ac:dyDescent="0.2">
      <c r="A250" s="78" t="s">
        <v>33</v>
      </c>
      <c r="B250" s="106" t="s">
        <v>457</v>
      </c>
      <c r="C250" s="78">
        <f>C251+C255+C262</f>
        <v>13</v>
      </c>
      <c r="D250" s="80"/>
      <c r="E250" s="80"/>
      <c r="F250" s="80"/>
      <c r="G250" s="80"/>
      <c r="H250" s="80"/>
      <c r="I250" s="80"/>
      <c r="J250" s="80"/>
      <c r="K250" s="82">
        <f t="shared" ref="K250:U250" si="118">K251+K255+K262</f>
        <v>2689749.0919999997</v>
      </c>
      <c r="L250" s="82">
        <f t="shared" si="118"/>
        <v>2450460</v>
      </c>
      <c r="M250" s="82">
        <f t="shared" si="118"/>
        <v>2382379</v>
      </c>
      <c r="N250" s="82">
        <f t="shared" si="118"/>
        <v>1151392</v>
      </c>
      <c r="O250" s="82">
        <f t="shared" si="118"/>
        <v>699885</v>
      </c>
      <c r="P250" s="82">
        <f t="shared" si="118"/>
        <v>530373</v>
      </c>
      <c r="Q250" s="82">
        <f t="shared" si="118"/>
        <v>63490</v>
      </c>
      <c r="R250" s="82">
        <f t="shared" si="118"/>
        <v>64500</v>
      </c>
      <c r="S250" s="82">
        <f t="shared" si="118"/>
        <v>402383</v>
      </c>
      <c r="T250" s="82">
        <f t="shared" si="118"/>
        <v>0</v>
      </c>
      <c r="U250" s="82">
        <f t="shared" si="118"/>
        <v>0</v>
      </c>
      <c r="V250" s="51"/>
    </row>
    <row r="251" spans="1:22" x14ac:dyDescent="0.2">
      <c r="A251" s="78" t="s">
        <v>69</v>
      </c>
      <c r="B251" s="106" t="s">
        <v>686</v>
      </c>
      <c r="C251" s="78">
        <f>C252+C253+C254</f>
        <v>3</v>
      </c>
      <c r="D251" s="80"/>
      <c r="E251" s="80"/>
      <c r="F251" s="80"/>
      <c r="G251" s="80"/>
      <c r="H251" s="80"/>
      <c r="I251" s="80"/>
      <c r="J251" s="80"/>
      <c r="K251" s="94">
        <f t="shared" ref="K251:U251" si="119">K252+K253+K254</f>
        <v>1057753.1939999999</v>
      </c>
      <c r="L251" s="94">
        <f t="shared" si="119"/>
        <v>931500</v>
      </c>
      <c r="M251" s="94">
        <f t="shared" si="119"/>
        <v>942719</v>
      </c>
      <c r="N251" s="94">
        <f t="shared" si="119"/>
        <v>667860</v>
      </c>
      <c r="O251" s="94">
        <f t="shared" si="119"/>
        <v>115465</v>
      </c>
      <c r="P251" s="94">
        <f t="shared" si="119"/>
        <v>249678</v>
      </c>
      <c r="Q251" s="94">
        <f t="shared" si="119"/>
        <v>0</v>
      </c>
      <c r="R251" s="94">
        <f t="shared" si="119"/>
        <v>15000</v>
      </c>
      <c r="S251" s="94">
        <f t="shared" si="119"/>
        <v>234678</v>
      </c>
      <c r="T251" s="94">
        <f t="shared" si="119"/>
        <v>0</v>
      </c>
      <c r="U251" s="94">
        <f t="shared" si="119"/>
        <v>0</v>
      </c>
      <c r="V251" s="51"/>
    </row>
    <row r="252" spans="1:22" ht="59.25" customHeight="1" x14ac:dyDescent="0.2">
      <c r="A252" s="47">
        <v>1</v>
      </c>
      <c r="B252" s="52" t="s">
        <v>531</v>
      </c>
      <c r="C252" s="47">
        <v>1</v>
      </c>
      <c r="D252" s="49" t="s">
        <v>123</v>
      </c>
      <c r="E252" s="49"/>
      <c r="F252" s="49" t="s">
        <v>507</v>
      </c>
      <c r="G252" s="49"/>
      <c r="H252" s="49"/>
      <c r="I252" s="49" t="s">
        <v>532</v>
      </c>
      <c r="J252" s="55" t="s">
        <v>995</v>
      </c>
      <c r="K252" s="51">
        <v>678248</v>
      </c>
      <c r="L252" s="51">
        <v>610000</v>
      </c>
      <c r="M252" s="51">
        <f>508500+134219</f>
        <v>642719</v>
      </c>
      <c r="N252" s="99">
        <v>508500</v>
      </c>
      <c r="O252" s="51">
        <v>0</v>
      </c>
      <c r="P252" s="51">
        <f>SUM(Q252:U252)</f>
        <v>134219</v>
      </c>
      <c r="Q252" s="51"/>
      <c r="R252" s="51"/>
      <c r="S252" s="51">
        <v>134219</v>
      </c>
      <c r="T252" s="51"/>
      <c r="U252" s="51"/>
      <c r="V252" s="51"/>
    </row>
    <row r="253" spans="1:22" ht="78.75" x14ac:dyDescent="0.2">
      <c r="A253" s="47">
        <v>2</v>
      </c>
      <c r="B253" s="52" t="s">
        <v>533</v>
      </c>
      <c r="C253" s="47">
        <v>1</v>
      </c>
      <c r="D253" s="49" t="s">
        <v>91</v>
      </c>
      <c r="E253" s="49"/>
      <c r="F253" s="49" t="s">
        <v>534</v>
      </c>
      <c r="G253" s="49"/>
      <c r="H253" s="49"/>
      <c r="I253" s="49" t="s">
        <v>967</v>
      </c>
      <c r="J253" s="55" t="s">
        <v>535</v>
      </c>
      <c r="K253" s="51">
        <v>300000</v>
      </c>
      <c r="L253" s="51">
        <v>250000</v>
      </c>
      <c r="M253" s="51">
        <v>250000</v>
      </c>
      <c r="N253" s="99">
        <v>124360</v>
      </c>
      <c r="O253" s="51">
        <v>100465</v>
      </c>
      <c r="P253" s="51">
        <f>SUM(Q253:U253)</f>
        <v>100459</v>
      </c>
      <c r="Q253" s="51"/>
      <c r="R253" s="51"/>
      <c r="S253" s="51">
        <v>100459</v>
      </c>
      <c r="T253" s="51"/>
      <c r="U253" s="51"/>
      <c r="V253" s="51"/>
    </row>
    <row r="254" spans="1:22" s="64" customFormat="1" ht="47.25" x14ac:dyDescent="0.2">
      <c r="A254" s="47">
        <v>3</v>
      </c>
      <c r="B254" s="52" t="s">
        <v>460</v>
      </c>
      <c r="C254" s="47">
        <v>1</v>
      </c>
      <c r="D254" s="49" t="s">
        <v>100</v>
      </c>
      <c r="E254" s="49"/>
      <c r="F254" s="49" t="s">
        <v>541</v>
      </c>
      <c r="G254" s="49"/>
      <c r="H254" s="49"/>
      <c r="I254" s="49" t="s">
        <v>967</v>
      </c>
      <c r="J254" s="55" t="s">
        <v>542</v>
      </c>
      <c r="K254" s="56">
        <v>79505.194000000003</v>
      </c>
      <c r="L254" s="51">
        <v>71500</v>
      </c>
      <c r="M254" s="51">
        <v>50000</v>
      </c>
      <c r="N254" s="99">
        <v>35000</v>
      </c>
      <c r="O254" s="51">
        <v>15000</v>
      </c>
      <c r="P254" s="51">
        <f>SUM(Q254:U254)</f>
        <v>15000</v>
      </c>
      <c r="Q254" s="51"/>
      <c r="R254" s="51">
        <v>15000</v>
      </c>
      <c r="S254" s="51"/>
      <c r="T254" s="51"/>
      <c r="U254" s="51"/>
      <c r="V254" s="77"/>
    </row>
    <row r="255" spans="1:22" s="83" customFormat="1" x14ac:dyDescent="0.2">
      <c r="A255" s="78" t="s">
        <v>81</v>
      </c>
      <c r="B255" s="93" t="s">
        <v>475</v>
      </c>
      <c r="C255" s="78">
        <f>SUM(C256:C260)</f>
        <v>5</v>
      </c>
      <c r="D255" s="80"/>
      <c r="E255" s="80"/>
      <c r="F255" s="75"/>
      <c r="G255" s="75"/>
      <c r="H255" s="75"/>
      <c r="I255" s="75"/>
      <c r="J255" s="75"/>
      <c r="K255" s="82">
        <f t="shared" ref="K255:U255" si="120">SUM(K256:K260)</f>
        <v>906229.81599999999</v>
      </c>
      <c r="L255" s="82">
        <f t="shared" si="120"/>
        <v>866600</v>
      </c>
      <c r="M255" s="82">
        <f t="shared" si="120"/>
        <v>863600</v>
      </c>
      <c r="N255" s="82">
        <f t="shared" si="120"/>
        <v>479662</v>
      </c>
      <c r="O255" s="82">
        <f t="shared" si="120"/>
        <v>282420</v>
      </c>
      <c r="P255" s="82">
        <f t="shared" si="120"/>
        <v>195305</v>
      </c>
      <c r="Q255" s="82">
        <f t="shared" si="120"/>
        <v>18400</v>
      </c>
      <c r="R255" s="82">
        <f t="shared" si="120"/>
        <v>9200</v>
      </c>
      <c r="S255" s="82">
        <f t="shared" si="120"/>
        <v>167705</v>
      </c>
      <c r="T255" s="82">
        <f t="shared" si="120"/>
        <v>0</v>
      </c>
      <c r="U255" s="82">
        <f t="shared" si="120"/>
        <v>0</v>
      </c>
      <c r="V255" s="82"/>
    </row>
    <row r="256" spans="1:22" s="64" customFormat="1" ht="72.599999999999994" customHeight="1" x14ac:dyDescent="0.2">
      <c r="A256" s="47">
        <v>1</v>
      </c>
      <c r="B256" s="52" t="s">
        <v>528</v>
      </c>
      <c r="C256" s="47">
        <v>1</v>
      </c>
      <c r="D256" s="49" t="s">
        <v>299</v>
      </c>
      <c r="E256" s="49"/>
      <c r="F256" s="49" t="s">
        <v>529</v>
      </c>
      <c r="G256" s="49"/>
      <c r="H256" s="49"/>
      <c r="I256" s="49" t="s">
        <v>74</v>
      </c>
      <c r="J256" s="55" t="s">
        <v>530</v>
      </c>
      <c r="K256" s="51">
        <v>508400</v>
      </c>
      <c r="L256" s="51">
        <v>508400</v>
      </c>
      <c r="M256" s="51">
        <v>508400</v>
      </c>
      <c r="N256" s="99">
        <v>252920</v>
      </c>
      <c r="O256" s="51">
        <v>149320</v>
      </c>
      <c r="P256" s="51">
        <f t="shared" si="94"/>
        <v>127705</v>
      </c>
      <c r="Q256" s="51"/>
      <c r="R256" s="51"/>
      <c r="S256" s="51">
        <v>127705</v>
      </c>
      <c r="T256" s="51"/>
      <c r="U256" s="51"/>
      <c r="V256" s="52" t="s">
        <v>962</v>
      </c>
    </row>
    <row r="257" spans="1:22" ht="74.25" customHeight="1" x14ac:dyDescent="0.2">
      <c r="A257" s="47">
        <v>2</v>
      </c>
      <c r="B257" s="52" t="s">
        <v>536</v>
      </c>
      <c r="C257" s="47">
        <v>1</v>
      </c>
      <c r="D257" s="49" t="s">
        <v>89</v>
      </c>
      <c r="E257" s="49"/>
      <c r="F257" s="49" t="s">
        <v>526</v>
      </c>
      <c r="G257" s="49"/>
      <c r="H257" s="49"/>
      <c r="I257" s="49" t="s">
        <v>537</v>
      </c>
      <c r="J257" s="55" t="s">
        <v>538</v>
      </c>
      <c r="K257" s="51">
        <v>72904.816000000006</v>
      </c>
      <c r="L257" s="51">
        <v>65000</v>
      </c>
      <c r="M257" s="51">
        <v>65000</v>
      </c>
      <c r="N257" s="99">
        <v>11000</v>
      </c>
      <c r="O257" s="51">
        <v>52000</v>
      </c>
      <c r="P257" s="51">
        <f t="shared" si="94"/>
        <v>33000</v>
      </c>
      <c r="Q257" s="51">
        <v>13000</v>
      </c>
      <c r="R257" s="51"/>
      <c r="S257" s="51">
        <v>20000</v>
      </c>
      <c r="T257" s="51"/>
      <c r="U257" s="51"/>
      <c r="V257" s="51"/>
    </row>
    <row r="258" spans="1:22" ht="47.25" x14ac:dyDescent="0.2">
      <c r="A258" s="47">
        <v>3</v>
      </c>
      <c r="B258" s="52" t="s">
        <v>539</v>
      </c>
      <c r="C258" s="47">
        <v>1</v>
      </c>
      <c r="D258" s="49" t="s">
        <v>73</v>
      </c>
      <c r="E258" s="49"/>
      <c r="F258" s="49" t="s">
        <v>534</v>
      </c>
      <c r="G258" s="49"/>
      <c r="H258" s="49"/>
      <c r="I258" s="49" t="s">
        <v>80</v>
      </c>
      <c r="J258" s="55" t="s">
        <v>540</v>
      </c>
      <c r="K258" s="51">
        <v>287404</v>
      </c>
      <c r="L258" s="51">
        <v>258000</v>
      </c>
      <c r="M258" s="51">
        <v>258000</v>
      </c>
      <c r="N258" s="99">
        <v>192742</v>
      </c>
      <c r="O258" s="51">
        <v>81100</v>
      </c>
      <c r="P258" s="51">
        <f t="shared" ref="P258:P329" si="121">SUM(Q258:U258)</f>
        <v>25400</v>
      </c>
      <c r="Q258" s="51">
        <v>5400</v>
      </c>
      <c r="R258" s="51"/>
      <c r="S258" s="51">
        <v>20000</v>
      </c>
      <c r="T258" s="51"/>
      <c r="U258" s="51"/>
      <c r="V258" s="51"/>
    </row>
    <row r="259" spans="1:22" ht="78.75" x14ac:dyDescent="0.2">
      <c r="A259" s="47">
        <v>4</v>
      </c>
      <c r="B259" s="52" t="s">
        <v>543</v>
      </c>
      <c r="C259" s="47">
        <v>1</v>
      </c>
      <c r="D259" s="49" t="s">
        <v>100</v>
      </c>
      <c r="E259" s="49"/>
      <c r="F259" s="49" t="s">
        <v>522</v>
      </c>
      <c r="G259" s="49"/>
      <c r="H259" s="49"/>
      <c r="I259" s="49" t="s">
        <v>80</v>
      </c>
      <c r="J259" s="55" t="s">
        <v>544</v>
      </c>
      <c r="K259" s="51">
        <v>22981</v>
      </c>
      <c r="L259" s="51">
        <v>20700</v>
      </c>
      <c r="M259" s="51">
        <v>20700</v>
      </c>
      <c r="N259" s="99">
        <v>13000</v>
      </c>
      <c r="O259" s="51">
        <v>0</v>
      </c>
      <c r="P259" s="51">
        <f t="shared" si="121"/>
        <v>7700</v>
      </c>
      <c r="Q259" s="51"/>
      <c r="R259" s="51">
        <v>7700</v>
      </c>
      <c r="S259" s="51"/>
      <c r="T259" s="51"/>
      <c r="U259" s="51"/>
      <c r="V259" s="51"/>
    </row>
    <row r="260" spans="1:22" x14ac:dyDescent="0.2">
      <c r="A260" s="78"/>
      <c r="B260" s="79" t="s">
        <v>545</v>
      </c>
      <c r="C260" s="78">
        <f>C261</f>
        <v>1</v>
      </c>
      <c r="D260" s="80">
        <v>0</v>
      </c>
      <c r="E260" s="80"/>
      <c r="F260" s="75"/>
      <c r="G260" s="75"/>
      <c r="H260" s="75"/>
      <c r="I260" s="75"/>
      <c r="J260" s="75"/>
      <c r="K260" s="82">
        <f>K261</f>
        <v>14540</v>
      </c>
      <c r="L260" s="82">
        <f t="shared" ref="L260:U260" si="122">L261</f>
        <v>14500</v>
      </c>
      <c r="M260" s="82">
        <f t="shared" si="122"/>
        <v>11500</v>
      </c>
      <c r="N260" s="82">
        <f t="shared" si="122"/>
        <v>10000</v>
      </c>
      <c r="O260" s="82">
        <f t="shared" si="122"/>
        <v>0</v>
      </c>
      <c r="P260" s="82">
        <f t="shared" si="122"/>
        <v>1500</v>
      </c>
      <c r="Q260" s="82">
        <f t="shared" si="122"/>
        <v>0</v>
      </c>
      <c r="R260" s="82">
        <f t="shared" si="122"/>
        <v>1500</v>
      </c>
      <c r="S260" s="82">
        <f t="shared" si="122"/>
        <v>0</v>
      </c>
      <c r="T260" s="82">
        <f t="shared" si="122"/>
        <v>0</v>
      </c>
      <c r="U260" s="82">
        <f t="shared" si="122"/>
        <v>0</v>
      </c>
      <c r="V260" s="51"/>
    </row>
    <row r="261" spans="1:22" ht="78.75" x14ac:dyDescent="0.2">
      <c r="A261" s="47">
        <v>5</v>
      </c>
      <c r="B261" s="107" t="s">
        <v>546</v>
      </c>
      <c r="C261" s="47">
        <v>1</v>
      </c>
      <c r="D261" s="49" t="s">
        <v>123</v>
      </c>
      <c r="E261" s="49"/>
      <c r="F261" s="108" t="s">
        <v>507</v>
      </c>
      <c r="G261" s="108"/>
      <c r="H261" s="108"/>
      <c r="I261" s="108" t="s">
        <v>537</v>
      </c>
      <c r="J261" s="55" t="s">
        <v>977</v>
      </c>
      <c r="K261" s="56">
        <v>14540</v>
      </c>
      <c r="L261" s="51">
        <v>14500</v>
      </c>
      <c r="M261" s="51">
        <v>11500</v>
      </c>
      <c r="N261" s="99">
        <v>10000</v>
      </c>
      <c r="O261" s="51">
        <v>0</v>
      </c>
      <c r="P261" s="51">
        <f t="shared" si="121"/>
        <v>1500</v>
      </c>
      <c r="Q261" s="51"/>
      <c r="R261" s="51">
        <v>1500</v>
      </c>
      <c r="S261" s="51"/>
      <c r="T261" s="51"/>
      <c r="U261" s="51"/>
      <c r="V261" s="51"/>
    </row>
    <row r="262" spans="1:22" x14ac:dyDescent="0.2">
      <c r="A262" s="78" t="s">
        <v>104</v>
      </c>
      <c r="B262" s="93" t="s">
        <v>474</v>
      </c>
      <c r="C262" s="78">
        <f>SUM(C263:C269)</f>
        <v>5</v>
      </c>
      <c r="D262" s="80">
        <v>0</v>
      </c>
      <c r="E262" s="80"/>
      <c r="F262" s="49"/>
      <c r="G262" s="49"/>
      <c r="H262" s="49"/>
      <c r="I262" s="49"/>
      <c r="J262" s="49"/>
      <c r="K262" s="82">
        <f>SUM(K263:K269)</f>
        <v>725766.08199999994</v>
      </c>
      <c r="L262" s="82">
        <f t="shared" ref="L262:U262" si="123">SUM(L263:L269)</f>
        <v>652360</v>
      </c>
      <c r="M262" s="82">
        <f t="shared" si="123"/>
        <v>576060</v>
      </c>
      <c r="N262" s="82">
        <f t="shared" si="123"/>
        <v>3870</v>
      </c>
      <c r="O262" s="82">
        <f t="shared" si="123"/>
        <v>302000</v>
      </c>
      <c r="P262" s="82">
        <f t="shared" si="123"/>
        <v>85390</v>
      </c>
      <c r="Q262" s="82">
        <f t="shared" si="123"/>
        <v>45090</v>
      </c>
      <c r="R262" s="82">
        <f t="shared" si="123"/>
        <v>40300</v>
      </c>
      <c r="S262" s="82">
        <f t="shared" si="123"/>
        <v>0</v>
      </c>
      <c r="T262" s="82">
        <f t="shared" si="123"/>
        <v>0</v>
      </c>
      <c r="U262" s="82">
        <f t="shared" si="123"/>
        <v>0</v>
      </c>
      <c r="V262" s="51"/>
    </row>
    <row r="263" spans="1:22" ht="47.25" x14ac:dyDescent="0.2">
      <c r="A263" s="47">
        <v>1</v>
      </c>
      <c r="B263" s="52" t="s">
        <v>547</v>
      </c>
      <c r="C263" s="47">
        <v>1</v>
      </c>
      <c r="D263" s="49" t="s">
        <v>82</v>
      </c>
      <c r="E263" s="49"/>
      <c r="F263" s="49" t="s">
        <v>534</v>
      </c>
      <c r="G263" s="49"/>
      <c r="H263" s="49"/>
      <c r="I263" s="49" t="s">
        <v>74</v>
      </c>
      <c r="J263" s="49" t="s">
        <v>965</v>
      </c>
      <c r="K263" s="51">
        <v>386000</v>
      </c>
      <c r="L263" s="51">
        <v>347000</v>
      </c>
      <c r="M263" s="51">
        <v>347000</v>
      </c>
      <c r="N263" s="99">
        <v>0</v>
      </c>
      <c r="O263" s="51">
        <v>182000</v>
      </c>
      <c r="P263" s="51">
        <f t="shared" si="121"/>
        <v>32000</v>
      </c>
      <c r="Q263" s="51"/>
      <c r="R263" s="51">
        <v>32000</v>
      </c>
      <c r="S263" s="51"/>
      <c r="T263" s="51"/>
      <c r="U263" s="51"/>
      <c r="V263" s="51"/>
    </row>
    <row r="264" spans="1:22" ht="63" x14ac:dyDescent="0.2">
      <c r="A264" s="47">
        <v>2</v>
      </c>
      <c r="B264" s="52" t="s">
        <v>548</v>
      </c>
      <c r="C264" s="47">
        <v>1</v>
      </c>
      <c r="D264" s="49" t="s">
        <v>549</v>
      </c>
      <c r="E264" s="49"/>
      <c r="F264" s="49" t="s">
        <v>550</v>
      </c>
      <c r="G264" s="49"/>
      <c r="H264" s="49"/>
      <c r="I264" s="49" t="s">
        <v>74</v>
      </c>
      <c r="J264" s="55" t="s">
        <v>551</v>
      </c>
      <c r="K264" s="51">
        <v>290850.11599999998</v>
      </c>
      <c r="L264" s="51">
        <v>263260</v>
      </c>
      <c r="M264" s="51">
        <v>191260</v>
      </c>
      <c r="N264" s="99">
        <v>3870</v>
      </c>
      <c r="O264" s="51">
        <v>120000</v>
      </c>
      <c r="P264" s="51">
        <f t="shared" si="121"/>
        <v>37290</v>
      </c>
      <c r="Q264" s="51">
        <v>37290</v>
      </c>
      <c r="R264" s="51"/>
      <c r="S264" s="51"/>
      <c r="T264" s="51"/>
      <c r="U264" s="51"/>
      <c r="V264" s="51"/>
    </row>
    <row r="265" spans="1:22" hidden="1" x14ac:dyDescent="0.2">
      <c r="A265" s="47"/>
      <c r="B265" s="52"/>
      <c r="C265" s="47"/>
      <c r="D265" s="49"/>
      <c r="E265" s="49"/>
      <c r="F265" s="49"/>
      <c r="G265" s="49"/>
      <c r="H265" s="49"/>
      <c r="I265" s="49"/>
      <c r="J265" s="49"/>
      <c r="K265" s="51"/>
      <c r="L265" s="51"/>
      <c r="M265" s="51"/>
      <c r="N265" s="99"/>
      <c r="O265" s="51"/>
      <c r="P265" s="51"/>
      <c r="Q265" s="51"/>
      <c r="R265" s="51"/>
      <c r="S265" s="51"/>
      <c r="T265" s="51"/>
      <c r="U265" s="51"/>
      <c r="V265" s="51"/>
    </row>
    <row r="266" spans="1:22" hidden="1" x14ac:dyDescent="0.2">
      <c r="A266" s="47"/>
      <c r="B266" s="52"/>
      <c r="C266" s="47"/>
      <c r="D266" s="49"/>
      <c r="E266" s="49"/>
      <c r="F266" s="49"/>
      <c r="G266" s="49"/>
      <c r="H266" s="49"/>
      <c r="I266" s="49"/>
      <c r="J266" s="105"/>
      <c r="K266" s="92"/>
      <c r="L266" s="51"/>
      <c r="M266" s="51"/>
      <c r="N266" s="99">
        <v>0</v>
      </c>
      <c r="O266" s="51"/>
      <c r="P266" s="51">
        <f t="shared" si="121"/>
        <v>0</v>
      </c>
      <c r="Q266" s="51"/>
      <c r="R266" s="51"/>
      <c r="S266" s="51"/>
      <c r="T266" s="51"/>
      <c r="U266" s="51"/>
      <c r="V266" s="51"/>
    </row>
    <row r="267" spans="1:22" hidden="1" x14ac:dyDescent="0.2">
      <c r="A267" s="47"/>
      <c r="B267" s="52"/>
      <c r="C267" s="47"/>
      <c r="D267" s="49"/>
      <c r="E267" s="49"/>
      <c r="F267" s="49"/>
      <c r="G267" s="49"/>
      <c r="H267" s="49"/>
      <c r="I267" s="49"/>
      <c r="J267" s="105"/>
      <c r="K267" s="92"/>
      <c r="L267" s="51"/>
      <c r="M267" s="51"/>
      <c r="N267" s="99">
        <v>0</v>
      </c>
      <c r="O267" s="51"/>
      <c r="P267" s="51">
        <f t="shared" si="121"/>
        <v>0</v>
      </c>
      <c r="Q267" s="51"/>
      <c r="R267" s="51"/>
      <c r="S267" s="51"/>
      <c r="T267" s="51"/>
      <c r="U267" s="51"/>
      <c r="V267" s="51"/>
    </row>
    <row r="268" spans="1:22" ht="63" x14ac:dyDescent="0.2">
      <c r="A268" s="47">
        <v>3</v>
      </c>
      <c r="B268" s="52" t="s">
        <v>552</v>
      </c>
      <c r="C268" s="47">
        <v>1</v>
      </c>
      <c r="D268" s="49" t="s">
        <v>553</v>
      </c>
      <c r="E268" s="49"/>
      <c r="F268" s="49" t="s">
        <v>522</v>
      </c>
      <c r="G268" s="49"/>
      <c r="H268" s="49"/>
      <c r="I268" s="49" t="s">
        <v>103</v>
      </c>
      <c r="J268" s="55" t="s">
        <v>554</v>
      </c>
      <c r="K268" s="58">
        <v>33333.1</v>
      </c>
      <c r="L268" s="51">
        <v>30000</v>
      </c>
      <c r="M268" s="51">
        <v>30000</v>
      </c>
      <c r="N268" s="99">
        <v>0</v>
      </c>
      <c r="O268" s="51">
        <v>0</v>
      </c>
      <c r="P268" s="51">
        <f t="shared" si="121"/>
        <v>8300</v>
      </c>
      <c r="Q268" s="51"/>
      <c r="R268" s="51">
        <v>8300</v>
      </c>
      <c r="S268" s="51"/>
      <c r="T268" s="51"/>
      <c r="U268" s="51"/>
      <c r="V268" s="51"/>
    </row>
    <row r="269" spans="1:22" ht="47.25" x14ac:dyDescent="0.2">
      <c r="A269" s="78"/>
      <c r="B269" s="79" t="s">
        <v>555</v>
      </c>
      <c r="C269" s="78">
        <f>C270+C271</f>
        <v>2</v>
      </c>
      <c r="D269" s="80"/>
      <c r="E269" s="80"/>
      <c r="F269" s="80" t="s">
        <v>556</v>
      </c>
      <c r="G269" s="80"/>
      <c r="H269" s="80"/>
      <c r="I269" s="80" t="s">
        <v>90</v>
      </c>
      <c r="J269" s="80"/>
      <c r="K269" s="82">
        <f>K270+K271</f>
        <v>15582.866</v>
      </c>
      <c r="L269" s="82">
        <f t="shared" ref="L269:U269" si="124">L270+L271</f>
        <v>12100</v>
      </c>
      <c r="M269" s="82">
        <f t="shared" si="124"/>
        <v>7800</v>
      </c>
      <c r="N269" s="82">
        <f t="shared" si="124"/>
        <v>0</v>
      </c>
      <c r="O269" s="82">
        <f t="shared" si="124"/>
        <v>0</v>
      </c>
      <c r="P269" s="82">
        <f t="shared" si="124"/>
        <v>7800</v>
      </c>
      <c r="Q269" s="82">
        <f t="shared" si="124"/>
        <v>7800</v>
      </c>
      <c r="R269" s="82">
        <f t="shared" si="124"/>
        <v>0</v>
      </c>
      <c r="S269" s="82">
        <f t="shared" si="124"/>
        <v>0</v>
      </c>
      <c r="T269" s="82">
        <f t="shared" si="124"/>
        <v>0</v>
      </c>
      <c r="U269" s="82">
        <f t="shared" si="124"/>
        <v>0</v>
      </c>
      <c r="V269" s="51"/>
    </row>
    <row r="270" spans="1:22" ht="47.25" x14ac:dyDescent="0.2">
      <c r="A270" s="50">
        <v>4</v>
      </c>
      <c r="B270" s="52" t="s">
        <v>557</v>
      </c>
      <c r="C270" s="47">
        <v>1</v>
      </c>
      <c r="D270" s="49" t="s">
        <v>82</v>
      </c>
      <c r="E270" s="49"/>
      <c r="F270" s="49" t="s">
        <v>558</v>
      </c>
      <c r="G270" s="49"/>
      <c r="H270" s="49"/>
      <c r="I270" s="49" t="s">
        <v>537</v>
      </c>
      <c r="J270" s="55" t="s">
        <v>559</v>
      </c>
      <c r="K270" s="51">
        <v>6889.6419999999998</v>
      </c>
      <c r="L270" s="51">
        <v>6800</v>
      </c>
      <c r="M270" s="51">
        <v>3600</v>
      </c>
      <c r="N270" s="99">
        <v>0</v>
      </c>
      <c r="O270" s="51">
        <v>0</v>
      </c>
      <c r="P270" s="51">
        <f t="shared" si="121"/>
        <v>3600</v>
      </c>
      <c r="Q270" s="51">
        <v>3600</v>
      </c>
      <c r="R270" s="51"/>
      <c r="S270" s="51"/>
      <c r="T270" s="51"/>
      <c r="U270" s="51"/>
      <c r="V270" s="51"/>
    </row>
    <row r="271" spans="1:22" ht="47.25" x14ac:dyDescent="0.2">
      <c r="A271" s="50">
        <v>5</v>
      </c>
      <c r="B271" s="52" t="s">
        <v>560</v>
      </c>
      <c r="C271" s="47">
        <v>1</v>
      </c>
      <c r="D271" s="49" t="s">
        <v>82</v>
      </c>
      <c r="E271" s="49"/>
      <c r="F271" s="49" t="s">
        <v>558</v>
      </c>
      <c r="G271" s="49"/>
      <c r="H271" s="49"/>
      <c r="I271" s="49" t="s">
        <v>537</v>
      </c>
      <c r="J271" s="55" t="s">
        <v>561</v>
      </c>
      <c r="K271" s="51">
        <v>8693.2240000000002</v>
      </c>
      <c r="L271" s="51">
        <v>5300</v>
      </c>
      <c r="M271" s="51">
        <v>4200</v>
      </c>
      <c r="N271" s="99">
        <v>0</v>
      </c>
      <c r="O271" s="51">
        <v>0</v>
      </c>
      <c r="P271" s="51">
        <f t="shared" si="121"/>
        <v>4200</v>
      </c>
      <c r="Q271" s="51">
        <v>4200</v>
      </c>
      <c r="R271" s="51"/>
      <c r="S271" s="51"/>
      <c r="T271" s="51"/>
      <c r="U271" s="51"/>
      <c r="V271" s="51"/>
    </row>
    <row r="272" spans="1:22" x14ac:dyDescent="0.2">
      <c r="A272" s="78" t="s">
        <v>34</v>
      </c>
      <c r="B272" s="79" t="s">
        <v>458</v>
      </c>
      <c r="C272" s="78">
        <f>C273+C275+C283+C294</f>
        <v>18</v>
      </c>
      <c r="D272" s="80"/>
      <c r="E272" s="80"/>
      <c r="F272" s="80"/>
      <c r="G272" s="80"/>
      <c r="H272" s="80"/>
      <c r="I272" s="80"/>
      <c r="J272" s="80"/>
      <c r="K272" s="94">
        <f>K273+K275+K283+K294</f>
        <v>8406430.699000001</v>
      </c>
      <c r="L272" s="94">
        <f t="shared" ref="L272:U272" si="125">L273+L275+L283+L294</f>
        <v>6292780</v>
      </c>
      <c r="M272" s="94">
        <f t="shared" si="125"/>
        <v>6125548</v>
      </c>
      <c r="N272" s="94">
        <f t="shared" si="125"/>
        <v>2802980</v>
      </c>
      <c r="O272" s="94">
        <f t="shared" si="125"/>
        <v>2150526</v>
      </c>
      <c r="P272" s="94">
        <f t="shared" si="125"/>
        <v>1818314</v>
      </c>
      <c r="Q272" s="94">
        <f t="shared" si="125"/>
        <v>40000</v>
      </c>
      <c r="R272" s="94">
        <f t="shared" si="125"/>
        <v>391422</v>
      </c>
      <c r="S272" s="94">
        <f t="shared" si="125"/>
        <v>1386892</v>
      </c>
      <c r="T272" s="94">
        <f t="shared" si="125"/>
        <v>0</v>
      </c>
      <c r="U272" s="94">
        <f t="shared" si="125"/>
        <v>0</v>
      </c>
      <c r="V272" s="51"/>
    </row>
    <row r="273" spans="1:22" s="97" customFormat="1" x14ac:dyDescent="0.2">
      <c r="A273" s="78" t="s">
        <v>691</v>
      </c>
      <c r="B273" s="79" t="s">
        <v>562</v>
      </c>
      <c r="C273" s="78">
        <f>C274</f>
        <v>1</v>
      </c>
      <c r="D273" s="80"/>
      <c r="E273" s="80"/>
      <c r="F273" s="75"/>
      <c r="G273" s="75"/>
      <c r="H273" s="75"/>
      <c r="I273" s="75"/>
      <c r="J273" s="75"/>
      <c r="K273" s="82">
        <f>K274</f>
        <v>328156.66700000002</v>
      </c>
      <c r="L273" s="82">
        <f t="shared" ref="L273:U273" si="126">L274</f>
        <v>208000</v>
      </c>
      <c r="M273" s="82">
        <f t="shared" si="126"/>
        <v>208000</v>
      </c>
      <c r="N273" s="82">
        <f t="shared" si="126"/>
        <v>169057</v>
      </c>
      <c r="O273" s="82">
        <f t="shared" si="126"/>
        <v>23677</v>
      </c>
      <c r="P273" s="82">
        <f t="shared" si="126"/>
        <v>13319</v>
      </c>
      <c r="Q273" s="82">
        <f t="shared" si="126"/>
        <v>0</v>
      </c>
      <c r="R273" s="82">
        <f t="shared" si="126"/>
        <v>13319</v>
      </c>
      <c r="S273" s="82">
        <f t="shared" si="126"/>
        <v>0</v>
      </c>
      <c r="T273" s="82">
        <f t="shared" si="126"/>
        <v>0</v>
      </c>
      <c r="U273" s="82">
        <f t="shared" si="126"/>
        <v>0</v>
      </c>
      <c r="V273" s="96"/>
    </row>
    <row r="274" spans="1:22" ht="94.5" x14ac:dyDescent="0.2">
      <c r="A274" s="47">
        <v>1</v>
      </c>
      <c r="B274" s="52" t="s">
        <v>563</v>
      </c>
      <c r="C274" s="47">
        <v>1</v>
      </c>
      <c r="D274" s="49" t="s">
        <v>86</v>
      </c>
      <c r="E274" s="49"/>
      <c r="F274" s="49" t="s">
        <v>87</v>
      </c>
      <c r="G274" s="49"/>
      <c r="H274" s="49"/>
      <c r="I274" s="49" t="s">
        <v>88</v>
      </c>
      <c r="J274" s="55" t="s">
        <v>564</v>
      </c>
      <c r="K274" s="51">
        <v>328156.66700000002</v>
      </c>
      <c r="L274" s="51">
        <v>208000</v>
      </c>
      <c r="M274" s="51">
        <v>208000</v>
      </c>
      <c r="N274" s="99">
        <v>169057</v>
      </c>
      <c r="O274" s="51">
        <v>23677</v>
      </c>
      <c r="P274" s="51">
        <f t="shared" si="121"/>
        <v>13319</v>
      </c>
      <c r="Q274" s="51"/>
      <c r="R274" s="51">
        <v>13319</v>
      </c>
      <c r="S274" s="51"/>
      <c r="T274" s="51"/>
      <c r="U274" s="51"/>
      <c r="V274" s="51"/>
    </row>
    <row r="275" spans="1:22" x14ac:dyDescent="0.2">
      <c r="A275" s="78" t="s">
        <v>692</v>
      </c>
      <c r="B275" s="106" t="s">
        <v>686</v>
      </c>
      <c r="C275" s="78">
        <f>C276+C277</f>
        <v>6</v>
      </c>
      <c r="D275" s="80"/>
      <c r="E275" s="80"/>
      <c r="F275" s="80"/>
      <c r="G275" s="80"/>
      <c r="H275" s="80"/>
      <c r="I275" s="80"/>
      <c r="J275" s="80"/>
      <c r="K275" s="94">
        <f t="shared" ref="K275:U275" si="127">K276+K277</f>
        <v>1162204.196</v>
      </c>
      <c r="L275" s="94">
        <f t="shared" si="127"/>
        <v>995680</v>
      </c>
      <c r="M275" s="94">
        <f t="shared" si="127"/>
        <v>965800</v>
      </c>
      <c r="N275" s="94">
        <f t="shared" si="127"/>
        <v>506289</v>
      </c>
      <c r="O275" s="94">
        <f t="shared" si="127"/>
        <v>333292</v>
      </c>
      <c r="P275" s="94">
        <f t="shared" si="127"/>
        <v>255500</v>
      </c>
      <c r="Q275" s="94">
        <f t="shared" si="127"/>
        <v>0</v>
      </c>
      <c r="R275" s="94">
        <f t="shared" si="127"/>
        <v>25500</v>
      </c>
      <c r="S275" s="94">
        <f t="shared" si="127"/>
        <v>230000</v>
      </c>
      <c r="T275" s="94">
        <f t="shared" si="127"/>
        <v>0</v>
      </c>
      <c r="U275" s="94">
        <f t="shared" si="127"/>
        <v>0</v>
      </c>
      <c r="V275" s="51"/>
    </row>
    <row r="276" spans="1:22" s="83" customFormat="1" ht="102.75" customHeight="1" x14ac:dyDescent="0.2">
      <c r="A276" s="47">
        <v>1</v>
      </c>
      <c r="B276" s="52" t="s">
        <v>575</v>
      </c>
      <c r="C276" s="47">
        <v>1</v>
      </c>
      <c r="D276" s="49" t="s">
        <v>576</v>
      </c>
      <c r="E276" s="49"/>
      <c r="F276" s="49" t="s">
        <v>577</v>
      </c>
      <c r="G276" s="49"/>
      <c r="H276" s="49"/>
      <c r="I276" s="49" t="s">
        <v>80</v>
      </c>
      <c r="J276" s="55" t="s">
        <v>578</v>
      </c>
      <c r="K276" s="51">
        <v>991810.06900000002</v>
      </c>
      <c r="L276" s="51">
        <v>882080</v>
      </c>
      <c r="M276" s="51">
        <v>882080</v>
      </c>
      <c r="N276" s="99">
        <v>448069</v>
      </c>
      <c r="O276" s="51">
        <v>308392</v>
      </c>
      <c r="P276" s="51">
        <f>SUM(Q276:U276)</f>
        <v>230000</v>
      </c>
      <c r="Q276" s="51"/>
      <c r="R276" s="51"/>
      <c r="S276" s="51">
        <v>230000</v>
      </c>
      <c r="T276" s="51"/>
      <c r="U276" s="51"/>
      <c r="V276" s="82"/>
    </row>
    <row r="277" spans="1:22" s="64" customFormat="1" ht="63" x14ac:dyDescent="0.2">
      <c r="A277" s="78"/>
      <c r="B277" s="79" t="s">
        <v>585</v>
      </c>
      <c r="C277" s="78">
        <f>SUM(C278:C282)</f>
        <v>5</v>
      </c>
      <c r="D277" s="80" t="s">
        <v>586</v>
      </c>
      <c r="E277" s="80"/>
      <c r="F277" s="80" t="s">
        <v>587</v>
      </c>
      <c r="G277" s="80"/>
      <c r="H277" s="80"/>
      <c r="I277" s="80" t="s">
        <v>90</v>
      </c>
      <c r="J277" s="80"/>
      <c r="K277" s="94">
        <f t="shared" ref="K277:U277" si="128">SUM(K278:K282)</f>
        <v>170394.12700000001</v>
      </c>
      <c r="L277" s="94">
        <f t="shared" si="128"/>
        <v>113600</v>
      </c>
      <c r="M277" s="94">
        <f t="shared" si="128"/>
        <v>83720</v>
      </c>
      <c r="N277" s="94">
        <f t="shared" si="128"/>
        <v>58220</v>
      </c>
      <c r="O277" s="94">
        <f t="shared" si="128"/>
        <v>24900</v>
      </c>
      <c r="P277" s="94">
        <f t="shared" si="128"/>
        <v>25500</v>
      </c>
      <c r="Q277" s="94">
        <f t="shared" si="128"/>
        <v>0</v>
      </c>
      <c r="R277" s="94">
        <f t="shared" si="128"/>
        <v>25500</v>
      </c>
      <c r="S277" s="94">
        <f t="shared" si="128"/>
        <v>0</v>
      </c>
      <c r="T277" s="94">
        <f t="shared" si="128"/>
        <v>0</v>
      </c>
      <c r="U277" s="94">
        <f t="shared" si="128"/>
        <v>0</v>
      </c>
      <c r="V277" s="77"/>
    </row>
    <row r="278" spans="1:22" ht="47.25" x14ac:dyDescent="0.2">
      <c r="A278" s="47">
        <v>2</v>
      </c>
      <c r="B278" s="52" t="s">
        <v>591</v>
      </c>
      <c r="C278" s="47">
        <v>1</v>
      </c>
      <c r="D278" s="49" t="s">
        <v>91</v>
      </c>
      <c r="E278" s="49"/>
      <c r="F278" s="49" t="s">
        <v>589</v>
      </c>
      <c r="G278" s="49"/>
      <c r="H278" s="49"/>
      <c r="I278" s="49" t="s">
        <v>75</v>
      </c>
      <c r="J278" s="55" t="s">
        <v>218</v>
      </c>
      <c r="K278" s="51">
        <v>52162</v>
      </c>
      <c r="L278" s="51">
        <v>48500</v>
      </c>
      <c r="M278" s="51">
        <v>30000</v>
      </c>
      <c r="N278" s="99">
        <v>23000</v>
      </c>
      <c r="O278" s="51">
        <v>7000</v>
      </c>
      <c r="P278" s="51">
        <f>SUM(Q278:U278)</f>
        <v>7000</v>
      </c>
      <c r="Q278" s="51"/>
      <c r="R278" s="51">
        <v>7000</v>
      </c>
      <c r="S278" s="51"/>
      <c r="T278" s="51"/>
      <c r="U278" s="51"/>
      <c r="V278" s="51"/>
    </row>
    <row r="279" spans="1:22" ht="47.25" x14ac:dyDescent="0.2">
      <c r="A279" s="47">
        <v>3</v>
      </c>
      <c r="B279" s="52" t="s">
        <v>461</v>
      </c>
      <c r="C279" s="47">
        <v>1</v>
      </c>
      <c r="D279" s="49" t="s">
        <v>82</v>
      </c>
      <c r="E279" s="49"/>
      <c r="F279" s="49" t="s">
        <v>558</v>
      </c>
      <c r="G279" s="49"/>
      <c r="H279" s="49"/>
      <c r="I279" s="49" t="s">
        <v>80</v>
      </c>
      <c r="J279" s="55" t="s">
        <v>593</v>
      </c>
      <c r="K279" s="51">
        <v>20690</v>
      </c>
      <c r="L279" s="51">
        <v>18600</v>
      </c>
      <c r="M279" s="51">
        <v>17000</v>
      </c>
      <c r="N279" s="99">
        <v>13500</v>
      </c>
      <c r="O279" s="51">
        <v>2900</v>
      </c>
      <c r="P279" s="51">
        <f>SUM(Q279:U279)</f>
        <v>3500</v>
      </c>
      <c r="Q279" s="51"/>
      <c r="R279" s="51">
        <v>3500</v>
      </c>
      <c r="S279" s="51"/>
      <c r="T279" s="51"/>
      <c r="U279" s="51"/>
      <c r="V279" s="51"/>
    </row>
    <row r="280" spans="1:22" ht="78.75" x14ac:dyDescent="0.2">
      <c r="A280" s="47">
        <v>4</v>
      </c>
      <c r="B280" s="52" t="s">
        <v>464</v>
      </c>
      <c r="C280" s="47">
        <v>1</v>
      </c>
      <c r="D280" s="49" t="s">
        <v>82</v>
      </c>
      <c r="E280" s="49"/>
      <c r="F280" s="49" t="s">
        <v>558</v>
      </c>
      <c r="G280" s="49"/>
      <c r="H280" s="49"/>
      <c r="I280" s="49" t="s">
        <v>967</v>
      </c>
      <c r="J280" s="55" t="s">
        <v>993</v>
      </c>
      <c r="K280" s="51">
        <v>58831</v>
      </c>
      <c r="L280" s="51">
        <v>10300</v>
      </c>
      <c r="M280" s="51">
        <v>10300</v>
      </c>
      <c r="N280" s="99">
        <v>0</v>
      </c>
      <c r="O280" s="51">
        <v>10300</v>
      </c>
      <c r="P280" s="51">
        <f>SUM(Q280:U280)</f>
        <v>10300</v>
      </c>
      <c r="Q280" s="51"/>
      <c r="R280" s="51">
        <v>10300</v>
      </c>
      <c r="S280" s="51"/>
      <c r="T280" s="51"/>
      <c r="U280" s="51"/>
      <c r="V280" s="51"/>
    </row>
    <row r="281" spans="1:22" ht="78.75" x14ac:dyDescent="0.2">
      <c r="A281" s="47">
        <v>5</v>
      </c>
      <c r="B281" s="52" t="s">
        <v>462</v>
      </c>
      <c r="C281" s="47">
        <v>1</v>
      </c>
      <c r="D281" s="49" t="s">
        <v>123</v>
      </c>
      <c r="E281" s="49"/>
      <c r="F281" s="49" t="s">
        <v>507</v>
      </c>
      <c r="G281" s="49"/>
      <c r="H281" s="49"/>
      <c r="I281" s="49" t="s">
        <v>80</v>
      </c>
      <c r="J281" s="55" t="s">
        <v>978</v>
      </c>
      <c r="K281" s="58">
        <v>23760.127</v>
      </c>
      <c r="L281" s="51">
        <v>21300</v>
      </c>
      <c r="M281" s="51">
        <v>15670</v>
      </c>
      <c r="N281" s="99">
        <v>13670</v>
      </c>
      <c r="O281" s="51">
        <v>2000</v>
      </c>
      <c r="P281" s="51">
        <f>SUM(Q281:U281)</f>
        <v>2000</v>
      </c>
      <c r="Q281" s="51"/>
      <c r="R281" s="51">
        <v>2000</v>
      </c>
      <c r="S281" s="51"/>
      <c r="T281" s="51"/>
      <c r="U281" s="51"/>
      <c r="V281" s="51"/>
    </row>
    <row r="282" spans="1:22" ht="78.75" x14ac:dyDescent="0.2">
      <c r="A282" s="47">
        <v>6</v>
      </c>
      <c r="B282" s="52" t="s">
        <v>463</v>
      </c>
      <c r="C282" s="47">
        <v>1</v>
      </c>
      <c r="D282" s="49" t="s">
        <v>123</v>
      </c>
      <c r="E282" s="49"/>
      <c r="F282" s="49" t="s">
        <v>507</v>
      </c>
      <c r="G282" s="49"/>
      <c r="H282" s="49"/>
      <c r="I282" s="49" t="s">
        <v>80</v>
      </c>
      <c r="J282" s="55" t="s">
        <v>979</v>
      </c>
      <c r="K282" s="51">
        <v>14951</v>
      </c>
      <c r="L282" s="51">
        <v>14900</v>
      </c>
      <c r="M282" s="51">
        <v>10750</v>
      </c>
      <c r="N282" s="99">
        <v>8050</v>
      </c>
      <c r="O282" s="51">
        <v>2700</v>
      </c>
      <c r="P282" s="51">
        <f>SUM(Q282:U282)</f>
        <v>2700</v>
      </c>
      <c r="Q282" s="51"/>
      <c r="R282" s="51">
        <v>2700</v>
      </c>
      <c r="S282" s="51"/>
      <c r="T282" s="51"/>
      <c r="U282" s="51"/>
      <c r="V282" s="51"/>
    </row>
    <row r="283" spans="1:22" x14ac:dyDescent="0.2">
      <c r="A283" s="78" t="s">
        <v>693</v>
      </c>
      <c r="B283" s="93" t="s">
        <v>475</v>
      </c>
      <c r="C283" s="78">
        <f>SUM(C284:C290)</f>
        <v>9</v>
      </c>
      <c r="D283" s="80"/>
      <c r="E283" s="80"/>
      <c r="F283" s="49"/>
      <c r="G283" s="49"/>
      <c r="H283" s="49"/>
      <c r="I283" s="49"/>
      <c r="J283" s="49"/>
      <c r="K283" s="94">
        <f t="shared" ref="K283:U283" si="129">SUM(K284:K290)</f>
        <v>6883038.023000001</v>
      </c>
      <c r="L283" s="94">
        <f t="shared" si="129"/>
        <v>5055500</v>
      </c>
      <c r="M283" s="94">
        <f t="shared" si="129"/>
        <v>4924008</v>
      </c>
      <c r="N283" s="94">
        <f t="shared" si="129"/>
        <v>2127634</v>
      </c>
      <c r="O283" s="94">
        <f t="shared" si="129"/>
        <v>1776737</v>
      </c>
      <c r="P283" s="94">
        <f t="shared" si="129"/>
        <v>1532675</v>
      </c>
      <c r="Q283" s="94">
        <f t="shared" si="129"/>
        <v>40000</v>
      </c>
      <c r="R283" s="94">
        <f t="shared" si="129"/>
        <v>335783</v>
      </c>
      <c r="S283" s="94">
        <f t="shared" si="129"/>
        <v>1156892</v>
      </c>
      <c r="T283" s="94">
        <f t="shared" si="129"/>
        <v>0</v>
      </c>
      <c r="U283" s="94">
        <f t="shared" si="129"/>
        <v>0</v>
      </c>
      <c r="V283" s="51"/>
    </row>
    <row r="284" spans="1:22" ht="78.75" x14ac:dyDescent="0.2">
      <c r="A284" s="47">
        <v>1</v>
      </c>
      <c r="B284" s="52" t="s">
        <v>565</v>
      </c>
      <c r="C284" s="47">
        <v>1</v>
      </c>
      <c r="D284" s="49" t="s">
        <v>566</v>
      </c>
      <c r="E284" s="49"/>
      <c r="F284" s="49" t="s">
        <v>567</v>
      </c>
      <c r="G284" s="49"/>
      <c r="H284" s="49"/>
      <c r="I284" s="49" t="s">
        <v>90</v>
      </c>
      <c r="J284" s="55" t="s">
        <v>220</v>
      </c>
      <c r="K284" s="51">
        <v>2179789.5809999998</v>
      </c>
      <c r="L284" s="51">
        <v>1962000</v>
      </c>
      <c r="M284" s="51">
        <v>1962000</v>
      </c>
      <c r="N284" s="99">
        <v>908533</v>
      </c>
      <c r="O284" s="51">
        <v>412036</v>
      </c>
      <c r="P284" s="51">
        <f t="shared" si="121"/>
        <v>359796</v>
      </c>
      <c r="Q284" s="51"/>
      <c r="R284" s="51">
        <v>203296</v>
      </c>
      <c r="S284" s="51">
        <v>156500</v>
      </c>
      <c r="T284" s="51"/>
      <c r="U284" s="51"/>
      <c r="V284" s="51"/>
    </row>
    <row r="285" spans="1:22" ht="78.75" x14ac:dyDescent="0.2">
      <c r="A285" s="47">
        <v>2</v>
      </c>
      <c r="B285" s="109" t="s">
        <v>568</v>
      </c>
      <c r="C285" s="47">
        <v>1</v>
      </c>
      <c r="D285" s="49" t="s">
        <v>82</v>
      </c>
      <c r="E285" s="49"/>
      <c r="F285" s="49" t="s">
        <v>569</v>
      </c>
      <c r="G285" s="49"/>
      <c r="H285" s="49"/>
      <c r="I285" s="299" t="s">
        <v>232</v>
      </c>
      <c r="J285" s="55" t="s">
        <v>570</v>
      </c>
      <c r="K285" s="51">
        <v>3640000</v>
      </c>
      <c r="L285" s="51">
        <v>2155800</v>
      </c>
      <c r="M285" s="51">
        <v>2155800</v>
      </c>
      <c r="N285" s="99">
        <v>890755</v>
      </c>
      <c r="O285" s="51">
        <v>982000</v>
      </c>
      <c r="P285" s="51">
        <f t="shared" si="121"/>
        <v>882000</v>
      </c>
      <c r="Q285" s="51"/>
      <c r="R285" s="51"/>
      <c r="S285" s="51">
        <v>882000</v>
      </c>
      <c r="T285" s="51"/>
      <c r="U285" s="51"/>
      <c r="V285" s="51"/>
    </row>
    <row r="286" spans="1:22" ht="94.5" x14ac:dyDescent="0.2">
      <c r="A286" s="47">
        <v>3</v>
      </c>
      <c r="B286" s="52" t="s">
        <v>571</v>
      </c>
      <c r="C286" s="47">
        <v>1</v>
      </c>
      <c r="D286" s="49" t="s">
        <v>572</v>
      </c>
      <c r="E286" s="49"/>
      <c r="F286" s="49" t="s">
        <v>573</v>
      </c>
      <c r="G286" s="49"/>
      <c r="H286" s="49"/>
      <c r="I286" s="49" t="s">
        <v>80</v>
      </c>
      <c r="J286" s="55" t="s">
        <v>574</v>
      </c>
      <c r="K286" s="51">
        <v>341465</v>
      </c>
      <c r="L286" s="51">
        <v>307000</v>
      </c>
      <c r="M286" s="51">
        <v>307000</v>
      </c>
      <c r="N286" s="99">
        <v>177000</v>
      </c>
      <c r="O286" s="51">
        <v>108539</v>
      </c>
      <c r="P286" s="51">
        <f t="shared" si="121"/>
        <v>64800</v>
      </c>
      <c r="Q286" s="51"/>
      <c r="R286" s="51">
        <v>12408</v>
      </c>
      <c r="S286" s="51">
        <v>52392</v>
      </c>
      <c r="T286" s="51"/>
      <c r="U286" s="51"/>
      <c r="V286" s="51"/>
    </row>
    <row r="287" spans="1:22" s="97" customFormat="1" ht="63" x14ac:dyDescent="0.2">
      <c r="A287" s="47">
        <v>4</v>
      </c>
      <c r="B287" s="52" t="s">
        <v>579</v>
      </c>
      <c r="C287" s="47">
        <v>1</v>
      </c>
      <c r="D287" s="49" t="s">
        <v>89</v>
      </c>
      <c r="E287" s="49"/>
      <c r="F287" s="49" t="s">
        <v>580</v>
      </c>
      <c r="G287" s="49"/>
      <c r="H287" s="49"/>
      <c r="I287" s="49" t="s">
        <v>80</v>
      </c>
      <c r="J287" s="55" t="s">
        <v>233</v>
      </c>
      <c r="K287" s="51">
        <v>165402.51300000001</v>
      </c>
      <c r="L287" s="51">
        <v>150000</v>
      </c>
      <c r="M287" s="51">
        <v>150000</v>
      </c>
      <c r="N287" s="99">
        <v>72000</v>
      </c>
      <c r="O287" s="51">
        <v>78000</v>
      </c>
      <c r="P287" s="51">
        <f t="shared" si="121"/>
        <v>66000</v>
      </c>
      <c r="Q287" s="51"/>
      <c r="R287" s="51"/>
      <c r="S287" s="51">
        <v>66000</v>
      </c>
      <c r="T287" s="51"/>
      <c r="U287" s="51"/>
      <c r="V287" s="96"/>
    </row>
    <row r="288" spans="1:22" ht="87.75" customHeight="1" x14ac:dyDescent="0.2">
      <c r="A288" s="47">
        <v>5</v>
      </c>
      <c r="B288" s="52" t="s">
        <v>581</v>
      </c>
      <c r="C288" s="47">
        <v>1</v>
      </c>
      <c r="D288" s="49"/>
      <c r="E288" s="49"/>
      <c r="F288" s="49" t="s">
        <v>582</v>
      </c>
      <c r="G288" s="49"/>
      <c r="H288" s="49"/>
      <c r="I288" s="49" t="s">
        <v>74</v>
      </c>
      <c r="J288" s="55" t="s">
        <v>583</v>
      </c>
      <c r="K288" s="51">
        <v>199552.42600000001</v>
      </c>
      <c r="L288" s="51">
        <v>180000</v>
      </c>
      <c r="M288" s="51">
        <v>131500</v>
      </c>
      <c r="N288" s="99">
        <v>2800</v>
      </c>
      <c r="O288" s="51">
        <v>60000</v>
      </c>
      <c r="P288" s="51">
        <f t="shared" si="121"/>
        <v>40000</v>
      </c>
      <c r="Q288" s="51">
        <v>40000</v>
      </c>
      <c r="R288" s="51"/>
      <c r="S288" s="51"/>
      <c r="T288" s="51"/>
      <c r="U288" s="51"/>
      <c r="V288" s="51"/>
    </row>
    <row r="289" spans="1:22" ht="47.25" x14ac:dyDescent="0.2">
      <c r="A289" s="47">
        <v>6</v>
      </c>
      <c r="B289" s="52" t="s">
        <v>584</v>
      </c>
      <c r="C289" s="47">
        <v>1</v>
      </c>
      <c r="D289" s="49" t="s">
        <v>89</v>
      </c>
      <c r="E289" s="49"/>
      <c r="F289" s="49" t="s">
        <v>85</v>
      </c>
      <c r="G289" s="49"/>
      <c r="H289" s="49"/>
      <c r="I289" s="49" t="s">
        <v>80</v>
      </c>
      <c r="J289" s="55" t="s">
        <v>238</v>
      </c>
      <c r="K289" s="51">
        <v>115710.98</v>
      </c>
      <c r="L289" s="51">
        <v>104000</v>
      </c>
      <c r="M289" s="51">
        <v>104000</v>
      </c>
      <c r="N289" s="99">
        <v>17700</v>
      </c>
      <c r="O289" s="51">
        <v>86300</v>
      </c>
      <c r="P289" s="51">
        <f t="shared" si="121"/>
        <v>72100</v>
      </c>
      <c r="Q289" s="51"/>
      <c r="R289" s="51">
        <v>72100</v>
      </c>
      <c r="S289" s="51"/>
      <c r="T289" s="51"/>
      <c r="U289" s="51"/>
      <c r="V289" s="51"/>
    </row>
    <row r="290" spans="1:22" ht="63" x14ac:dyDescent="0.2">
      <c r="A290" s="78"/>
      <c r="B290" s="79" t="s">
        <v>585</v>
      </c>
      <c r="C290" s="78">
        <f>SUM(C291:C293)</f>
        <v>3</v>
      </c>
      <c r="D290" s="80" t="s">
        <v>586</v>
      </c>
      <c r="E290" s="80"/>
      <c r="F290" s="80" t="s">
        <v>587</v>
      </c>
      <c r="G290" s="80"/>
      <c r="H290" s="80"/>
      <c r="I290" s="80" t="s">
        <v>90</v>
      </c>
      <c r="J290" s="80"/>
      <c r="K290" s="94">
        <f t="shared" ref="K290:U290" si="130">SUM(K291:K293)</f>
        <v>241117.52299999999</v>
      </c>
      <c r="L290" s="94">
        <f t="shared" si="130"/>
        <v>196700</v>
      </c>
      <c r="M290" s="94">
        <f t="shared" si="130"/>
        <v>113708</v>
      </c>
      <c r="N290" s="94">
        <f t="shared" si="130"/>
        <v>58846</v>
      </c>
      <c r="O290" s="94">
        <f t="shared" si="130"/>
        <v>49862</v>
      </c>
      <c r="P290" s="94">
        <f t="shared" si="130"/>
        <v>47979</v>
      </c>
      <c r="Q290" s="94">
        <f t="shared" si="130"/>
        <v>0</v>
      </c>
      <c r="R290" s="94">
        <f t="shared" si="130"/>
        <v>47979</v>
      </c>
      <c r="S290" s="94">
        <f t="shared" si="130"/>
        <v>0</v>
      </c>
      <c r="T290" s="94">
        <f t="shared" si="130"/>
        <v>0</v>
      </c>
      <c r="U290" s="94">
        <f t="shared" si="130"/>
        <v>0</v>
      </c>
      <c r="V290" s="51"/>
    </row>
    <row r="291" spans="1:22" ht="47.25" x14ac:dyDescent="0.2">
      <c r="A291" s="47">
        <v>7</v>
      </c>
      <c r="B291" s="52" t="s">
        <v>588</v>
      </c>
      <c r="C291" s="47">
        <v>1</v>
      </c>
      <c r="D291" s="49" t="s">
        <v>91</v>
      </c>
      <c r="E291" s="49"/>
      <c r="F291" s="49" t="s">
        <v>589</v>
      </c>
      <c r="G291" s="49"/>
      <c r="H291" s="49"/>
      <c r="I291" s="49" t="s">
        <v>75</v>
      </c>
      <c r="J291" s="55" t="s">
        <v>590</v>
      </c>
      <c r="K291" s="51">
        <v>79523</v>
      </c>
      <c r="L291" s="51">
        <v>51500</v>
      </c>
      <c r="M291" s="51">
        <v>27000</v>
      </c>
      <c r="N291" s="99">
        <v>24630</v>
      </c>
      <c r="O291" s="51">
        <v>2370</v>
      </c>
      <c r="P291" s="51">
        <f t="shared" si="121"/>
        <v>2370</v>
      </c>
      <c r="Q291" s="51"/>
      <c r="R291" s="51">
        <v>2370</v>
      </c>
      <c r="S291" s="51"/>
      <c r="T291" s="51"/>
      <c r="U291" s="51"/>
      <c r="V291" s="51"/>
    </row>
    <row r="292" spans="1:22" ht="47.25" x14ac:dyDescent="0.2">
      <c r="A292" s="47">
        <v>8</v>
      </c>
      <c r="B292" s="52" t="s">
        <v>592</v>
      </c>
      <c r="C292" s="47">
        <v>1</v>
      </c>
      <c r="D292" s="49" t="s">
        <v>89</v>
      </c>
      <c r="E292" s="49"/>
      <c r="F292" s="49" t="s">
        <v>297</v>
      </c>
      <c r="G292" s="49"/>
      <c r="H292" s="49"/>
      <c r="I292" s="49" t="s">
        <v>103</v>
      </c>
      <c r="J292" s="55" t="s">
        <v>217</v>
      </c>
      <c r="K292" s="51">
        <v>26922.523000000001</v>
      </c>
      <c r="L292" s="51">
        <v>24200</v>
      </c>
      <c r="M292" s="51">
        <v>23128</v>
      </c>
      <c r="N292" s="99">
        <v>3000</v>
      </c>
      <c r="O292" s="51">
        <v>20128</v>
      </c>
      <c r="P292" s="51">
        <f t="shared" si="121"/>
        <v>13245</v>
      </c>
      <c r="Q292" s="51"/>
      <c r="R292" s="51">
        <v>13245</v>
      </c>
      <c r="S292" s="51"/>
      <c r="T292" s="51"/>
      <c r="U292" s="51"/>
      <c r="V292" s="51"/>
    </row>
    <row r="293" spans="1:22" ht="47.25" x14ac:dyDescent="0.2">
      <c r="A293" s="47">
        <v>9</v>
      </c>
      <c r="B293" s="52" t="s">
        <v>594</v>
      </c>
      <c r="C293" s="47">
        <v>1</v>
      </c>
      <c r="D293" s="49" t="s">
        <v>123</v>
      </c>
      <c r="E293" s="49"/>
      <c r="F293" s="49" t="s">
        <v>507</v>
      </c>
      <c r="G293" s="49"/>
      <c r="H293" s="49"/>
      <c r="I293" s="49" t="s">
        <v>75</v>
      </c>
      <c r="J293" s="55" t="s">
        <v>980</v>
      </c>
      <c r="K293" s="58">
        <v>134672</v>
      </c>
      <c r="L293" s="51">
        <v>121000</v>
      </c>
      <c r="M293" s="51">
        <v>63580</v>
      </c>
      <c r="N293" s="99">
        <v>31216</v>
      </c>
      <c r="O293" s="51">
        <v>27364</v>
      </c>
      <c r="P293" s="51">
        <f>SUM(Q293:U293)</f>
        <v>32364</v>
      </c>
      <c r="Q293" s="51"/>
      <c r="R293" s="51">
        <v>32364</v>
      </c>
      <c r="S293" s="51"/>
      <c r="T293" s="51"/>
      <c r="U293" s="51"/>
      <c r="V293" s="51"/>
    </row>
    <row r="294" spans="1:22" x14ac:dyDescent="0.2">
      <c r="A294" s="78" t="s">
        <v>694</v>
      </c>
      <c r="B294" s="93" t="s">
        <v>474</v>
      </c>
      <c r="C294" s="78">
        <f>C295+C297</f>
        <v>2</v>
      </c>
      <c r="D294" s="80"/>
      <c r="E294" s="80"/>
      <c r="F294" s="75"/>
      <c r="G294" s="75"/>
      <c r="H294" s="75"/>
      <c r="I294" s="75"/>
      <c r="J294" s="75"/>
      <c r="K294" s="94">
        <f t="shared" ref="K294:U294" si="131">K295+K297</f>
        <v>33031.813000000002</v>
      </c>
      <c r="L294" s="94">
        <f t="shared" si="131"/>
        <v>33600</v>
      </c>
      <c r="M294" s="94">
        <f t="shared" si="131"/>
        <v>27740</v>
      </c>
      <c r="N294" s="94">
        <f t="shared" si="131"/>
        <v>0</v>
      </c>
      <c r="O294" s="94">
        <f t="shared" si="131"/>
        <v>16820</v>
      </c>
      <c r="P294" s="94">
        <f t="shared" si="131"/>
        <v>16820</v>
      </c>
      <c r="Q294" s="94">
        <f t="shared" si="131"/>
        <v>0</v>
      </c>
      <c r="R294" s="94">
        <f t="shared" si="131"/>
        <v>16820</v>
      </c>
      <c r="S294" s="94">
        <f t="shared" si="131"/>
        <v>0</v>
      </c>
      <c r="T294" s="94">
        <f t="shared" si="131"/>
        <v>0</v>
      </c>
      <c r="U294" s="94">
        <f t="shared" si="131"/>
        <v>0</v>
      </c>
      <c r="V294" s="51"/>
    </row>
    <row r="295" spans="1:22" x14ac:dyDescent="0.2">
      <c r="A295" s="78"/>
      <c r="B295" s="79" t="s">
        <v>545</v>
      </c>
      <c r="C295" s="78">
        <f>C296</f>
        <v>1</v>
      </c>
      <c r="D295" s="80"/>
      <c r="E295" s="80"/>
      <c r="F295" s="80"/>
      <c r="G295" s="80"/>
      <c r="H295" s="80"/>
      <c r="I295" s="80"/>
      <c r="J295" s="80"/>
      <c r="K295" s="94">
        <f t="shared" ref="K295:U295" si="132">K296</f>
        <v>22879.7</v>
      </c>
      <c r="L295" s="94">
        <f t="shared" si="132"/>
        <v>20600</v>
      </c>
      <c r="M295" s="94">
        <f t="shared" si="132"/>
        <v>19740</v>
      </c>
      <c r="N295" s="94">
        <f t="shared" si="132"/>
        <v>0</v>
      </c>
      <c r="O295" s="94">
        <f t="shared" si="132"/>
        <v>8820</v>
      </c>
      <c r="P295" s="94">
        <f t="shared" si="132"/>
        <v>8820</v>
      </c>
      <c r="Q295" s="94">
        <f t="shared" si="132"/>
        <v>0</v>
      </c>
      <c r="R295" s="94">
        <f t="shared" si="132"/>
        <v>8820</v>
      </c>
      <c r="S295" s="94">
        <f t="shared" si="132"/>
        <v>0</v>
      </c>
      <c r="T295" s="94">
        <f t="shared" si="132"/>
        <v>0</v>
      </c>
      <c r="U295" s="94">
        <f t="shared" si="132"/>
        <v>0</v>
      </c>
      <c r="V295" s="51"/>
    </row>
    <row r="296" spans="1:22" s="64" customFormat="1" ht="47.25" x14ac:dyDescent="0.2">
      <c r="A296" s="47">
        <v>1</v>
      </c>
      <c r="B296" s="52" t="s">
        <v>595</v>
      </c>
      <c r="C296" s="47">
        <v>1</v>
      </c>
      <c r="D296" s="49" t="s">
        <v>82</v>
      </c>
      <c r="E296" s="49"/>
      <c r="F296" s="49" t="s">
        <v>558</v>
      </c>
      <c r="G296" s="49"/>
      <c r="H296" s="49"/>
      <c r="I296" s="49" t="s">
        <v>103</v>
      </c>
      <c r="J296" s="55" t="s">
        <v>596</v>
      </c>
      <c r="K296" s="51">
        <v>22879.7</v>
      </c>
      <c r="L296" s="51">
        <v>20600</v>
      </c>
      <c r="M296" s="51">
        <v>19740</v>
      </c>
      <c r="N296" s="99">
        <v>0</v>
      </c>
      <c r="O296" s="51">
        <v>8820</v>
      </c>
      <c r="P296" s="51">
        <f t="shared" si="121"/>
        <v>8820</v>
      </c>
      <c r="Q296" s="51"/>
      <c r="R296" s="51">
        <v>8820</v>
      </c>
      <c r="S296" s="51"/>
      <c r="T296" s="51"/>
      <c r="U296" s="51"/>
      <c r="V296" s="77"/>
    </row>
    <row r="297" spans="1:22" s="97" customFormat="1" ht="63" x14ac:dyDescent="0.2">
      <c r="A297" s="78"/>
      <c r="B297" s="79" t="s">
        <v>585</v>
      </c>
      <c r="C297" s="78">
        <f>C298</f>
        <v>1</v>
      </c>
      <c r="D297" s="80" t="s">
        <v>586</v>
      </c>
      <c r="E297" s="80"/>
      <c r="F297" s="80" t="s">
        <v>587</v>
      </c>
      <c r="G297" s="80"/>
      <c r="H297" s="80"/>
      <c r="I297" s="80" t="s">
        <v>90</v>
      </c>
      <c r="J297" s="80"/>
      <c r="K297" s="82">
        <f>K298</f>
        <v>10152.112999999999</v>
      </c>
      <c r="L297" s="82">
        <f t="shared" ref="L297:R297" si="133">L298</f>
        <v>13000</v>
      </c>
      <c r="M297" s="82">
        <f t="shared" si="133"/>
        <v>8000</v>
      </c>
      <c r="N297" s="82">
        <f t="shared" si="133"/>
        <v>0</v>
      </c>
      <c r="O297" s="82">
        <f t="shared" si="133"/>
        <v>8000</v>
      </c>
      <c r="P297" s="77">
        <f t="shared" si="121"/>
        <v>8000</v>
      </c>
      <c r="Q297" s="82">
        <f t="shared" si="133"/>
        <v>0</v>
      </c>
      <c r="R297" s="82">
        <f t="shared" si="133"/>
        <v>8000</v>
      </c>
      <c r="S297" s="82"/>
      <c r="T297" s="82"/>
      <c r="U297" s="82"/>
      <c r="V297" s="96"/>
    </row>
    <row r="298" spans="1:22" ht="47.25" x14ac:dyDescent="0.2">
      <c r="A298" s="47">
        <v>2</v>
      </c>
      <c r="B298" s="52" t="s">
        <v>597</v>
      </c>
      <c r="C298" s="47">
        <v>1</v>
      </c>
      <c r="D298" s="49" t="s">
        <v>89</v>
      </c>
      <c r="E298" s="49"/>
      <c r="F298" s="49" t="s">
        <v>297</v>
      </c>
      <c r="G298" s="49"/>
      <c r="H298" s="49"/>
      <c r="I298" s="49" t="s">
        <v>537</v>
      </c>
      <c r="J298" s="55" t="s">
        <v>598</v>
      </c>
      <c r="K298" s="51">
        <v>10152.112999999999</v>
      </c>
      <c r="L298" s="51">
        <v>13000</v>
      </c>
      <c r="M298" s="51">
        <v>8000</v>
      </c>
      <c r="N298" s="99">
        <v>0</v>
      </c>
      <c r="O298" s="51">
        <v>8000</v>
      </c>
      <c r="P298" s="51">
        <f t="shared" si="121"/>
        <v>8000</v>
      </c>
      <c r="Q298" s="51"/>
      <c r="R298" s="51">
        <v>8000</v>
      </c>
      <c r="S298" s="51"/>
      <c r="T298" s="51"/>
      <c r="U298" s="51"/>
      <c r="V298" s="51"/>
    </row>
    <row r="299" spans="1:22" s="97" customFormat="1" x14ac:dyDescent="0.2">
      <c r="A299" s="78" t="s">
        <v>35</v>
      </c>
      <c r="B299" s="106" t="s">
        <v>41</v>
      </c>
      <c r="C299" s="78">
        <f>C300+C303</f>
        <v>2</v>
      </c>
      <c r="D299" s="80"/>
      <c r="E299" s="80"/>
      <c r="F299" s="80"/>
      <c r="G299" s="80"/>
      <c r="H299" s="80"/>
      <c r="I299" s="80"/>
      <c r="J299" s="80"/>
      <c r="K299" s="82">
        <f>K300+K303</f>
        <v>610094.42800000007</v>
      </c>
      <c r="L299" s="82">
        <f t="shared" ref="L299:U299" si="134">L300+L303</f>
        <v>567500</v>
      </c>
      <c r="M299" s="82">
        <f t="shared" si="134"/>
        <v>517500</v>
      </c>
      <c r="N299" s="82">
        <f t="shared" si="134"/>
        <v>269665</v>
      </c>
      <c r="O299" s="82">
        <f t="shared" si="134"/>
        <v>190000</v>
      </c>
      <c r="P299" s="82">
        <f t="shared" si="134"/>
        <v>123835</v>
      </c>
      <c r="Q299" s="82">
        <f t="shared" si="134"/>
        <v>57000</v>
      </c>
      <c r="R299" s="82">
        <f t="shared" si="134"/>
        <v>0</v>
      </c>
      <c r="S299" s="82">
        <f t="shared" si="134"/>
        <v>20000</v>
      </c>
      <c r="T299" s="82">
        <f t="shared" si="134"/>
        <v>0</v>
      </c>
      <c r="U299" s="82">
        <f t="shared" si="134"/>
        <v>46835</v>
      </c>
      <c r="V299" s="96"/>
    </row>
    <row r="300" spans="1:22" x14ac:dyDescent="0.2">
      <c r="A300" s="78" t="s">
        <v>695</v>
      </c>
      <c r="B300" s="93" t="s">
        <v>475</v>
      </c>
      <c r="C300" s="74">
        <f>C301+C302</f>
        <v>2</v>
      </c>
      <c r="D300" s="75">
        <v>0</v>
      </c>
      <c r="E300" s="75"/>
      <c r="F300" s="49"/>
      <c r="G300" s="49"/>
      <c r="H300" s="49"/>
      <c r="I300" s="49"/>
      <c r="J300" s="49"/>
      <c r="K300" s="77">
        <f>K301+K302</f>
        <v>610094.42800000007</v>
      </c>
      <c r="L300" s="77">
        <f t="shared" ref="L300:U300" si="135">L301+L302</f>
        <v>567500</v>
      </c>
      <c r="M300" s="77">
        <f t="shared" si="135"/>
        <v>517500</v>
      </c>
      <c r="N300" s="77">
        <f t="shared" si="135"/>
        <v>269665</v>
      </c>
      <c r="O300" s="77">
        <f t="shared" si="135"/>
        <v>190000</v>
      </c>
      <c r="P300" s="77">
        <f t="shared" si="135"/>
        <v>123835</v>
      </c>
      <c r="Q300" s="77">
        <f t="shared" si="135"/>
        <v>57000</v>
      </c>
      <c r="R300" s="77">
        <f t="shared" si="135"/>
        <v>0</v>
      </c>
      <c r="S300" s="77">
        <f t="shared" si="135"/>
        <v>20000</v>
      </c>
      <c r="T300" s="77">
        <f t="shared" si="135"/>
        <v>0</v>
      </c>
      <c r="U300" s="77">
        <f t="shared" si="135"/>
        <v>46835</v>
      </c>
      <c r="V300" s="51"/>
    </row>
    <row r="301" spans="1:22" s="83" customFormat="1" ht="47.25" x14ac:dyDescent="0.2">
      <c r="A301" s="47">
        <v>1</v>
      </c>
      <c r="B301" s="52" t="s">
        <v>599</v>
      </c>
      <c r="C301" s="47">
        <v>1</v>
      </c>
      <c r="D301" s="49" t="s">
        <v>244</v>
      </c>
      <c r="E301" s="49"/>
      <c r="F301" s="49" t="s">
        <v>600</v>
      </c>
      <c r="G301" s="49"/>
      <c r="H301" s="49"/>
      <c r="I301" s="49" t="s">
        <v>74</v>
      </c>
      <c r="J301" s="55" t="s">
        <v>601</v>
      </c>
      <c r="K301" s="51">
        <v>393116.16600000003</v>
      </c>
      <c r="L301" s="51">
        <v>354000</v>
      </c>
      <c r="M301" s="51">
        <v>304000</v>
      </c>
      <c r="N301" s="99">
        <v>103000</v>
      </c>
      <c r="O301" s="51">
        <v>100000</v>
      </c>
      <c r="P301" s="51">
        <f t="shared" si="121"/>
        <v>77000</v>
      </c>
      <c r="Q301" s="51">
        <v>57000</v>
      </c>
      <c r="R301" s="51"/>
      <c r="S301" s="51">
        <v>20000</v>
      </c>
      <c r="T301" s="51"/>
      <c r="U301" s="51"/>
      <c r="V301" s="82"/>
    </row>
    <row r="302" spans="1:22" ht="47.25" x14ac:dyDescent="0.2">
      <c r="A302" s="47">
        <v>2</v>
      </c>
      <c r="B302" s="52" t="s">
        <v>602</v>
      </c>
      <c r="C302" s="47">
        <v>1</v>
      </c>
      <c r="D302" s="49" t="s">
        <v>82</v>
      </c>
      <c r="E302" s="49"/>
      <c r="F302" s="49" t="s">
        <v>603</v>
      </c>
      <c r="G302" s="49"/>
      <c r="H302" s="49"/>
      <c r="I302" s="49" t="s">
        <v>75</v>
      </c>
      <c r="J302" s="55" t="s">
        <v>604</v>
      </c>
      <c r="K302" s="51">
        <v>216978.26199999999</v>
      </c>
      <c r="L302" s="51">
        <v>213500</v>
      </c>
      <c r="M302" s="51">
        <v>213500</v>
      </c>
      <c r="N302" s="99">
        <v>166665</v>
      </c>
      <c r="O302" s="51">
        <v>90000</v>
      </c>
      <c r="P302" s="51">
        <f t="shared" si="121"/>
        <v>46835</v>
      </c>
      <c r="Q302" s="51"/>
      <c r="R302" s="51"/>
      <c r="S302" s="51"/>
      <c r="T302" s="51"/>
      <c r="U302" s="51">
        <v>46835</v>
      </c>
      <c r="V302" s="51"/>
    </row>
    <row r="303" spans="1:22" hidden="1" x14ac:dyDescent="0.2">
      <c r="A303" s="78" t="s">
        <v>696</v>
      </c>
      <c r="B303" s="93" t="s">
        <v>474</v>
      </c>
      <c r="C303" s="78">
        <f>C305</f>
        <v>0</v>
      </c>
      <c r="D303" s="49"/>
      <c r="E303" s="49"/>
      <c r="F303" s="49"/>
      <c r="G303" s="49"/>
      <c r="H303" s="49"/>
      <c r="I303" s="49"/>
      <c r="J303" s="55"/>
      <c r="K303" s="78">
        <f t="shared" ref="K303:U303" si="136">K305</f>
        <v>0</v>
      </c>
      <c r="L303" s="78">
        <f t="shared" si="136"/>
        <v>0</v>
      </c>
      <c r="M303" s="78">
        <f t="shared" si="136"/>
        <v>0</v>
      </c>
      <c r="N303" s="78">
        <f t="shared" si="136"/>
        <v>0</v>
      </c>
      <c r="O303" s="78">
        <f t="shared" si="136"/>
        <v>0</v>
      </c>
      <c r="P303" s="78">
        <f t="shared" si="136"/>
        <v>0</v>
      </c>
      <c r="Q303" s="78">
        <f t="shared" si="136"/>
        <v>0</v>
      </c>
      <c r="R303" s="78">
        <f t="shared" si="136"/>
        <v>0</v>
      </c>
      <c r="S303" s="78">
        <f t="shared" si="136"/>
        <v>0</v>
      </c>
      <c r="T303" s="78">
        <f t="shared" si="136"/>
        <v>0</v>
      </c>
      <c r="U303" s="78">
        <f t="shared" si="136"/>
        <v>0</v>
      </c>
      <c r="V303" s="51"/>
    </row>
    <row r="304" spans="1:22" hidden="1" x14ac:dyDescent="0.2">
      <c r="A304" s="47"/>
      <c r="B304" s="52"/>
      <c r="C304" s="47"/>
      <c r="D304" s="49"/>
      <c r="E304" s="49"/>
      <c r="F304" s="49"/>
      <c r="G304" s="49"/>
      <c r="H304" s="49"/>
      <c r="I304" s="49"/>
      <c r="J304" s="49"/>
      <c r="K304" s="51"/>
      <c r="L304" s="51"/>
      <c r="M304" s="51"/>
      <c r="N304" s="99"/>
      <c r="O304" s="51"/>
      <c r="P304" s="51"/>
      <c r="Q304" s="51"/>
      <c r="R304" s="51"/>
      <c r="S304" s="51"/>
      <c r="T304" s="51"/>
      <c r="U304" s="51"/>
      <c r="V304" s="51"/>
    </row>
    <row r="305" spans="1:22" hidden="1" x14ac:dyDescent="0.2">
      <c r="A305" s="47"/>
      <c r="B305" s="48"/>
      <c r="C305" s="47"/>
      <c r="D305" s="49"/>
      <c r="E305" s="49"/>
      <c r="F305" s="49"/>
      <c r="G305" s="49"/>
      <c r="H305" s="49"/>
      <c r="I305" s="49"/>
      <c r="J305" s="49"/>
      <c r="K305" s="51"/>
      <c r="L305" s="51"/>
      <c r="M305" s="51"/>
      <c r="N305" s="99"/>
      <c r="O305" s="51"/>
      <c r="P305" s="51"/>
      <c r="Q305" s="51"/>
      <c r="R305" s="51"/>
      <c r="S305" s="51"/>
      <c r="T305" s="51"/>
      <c r="U305" s="51"/>
      <c r="V305" s="51"/>
    </row>
    <row r="306" spans="1:22" hidden="1" x14ac:dyDescent="0.2">
      <c r="A306" s="78"/>
      <c r="B306" s="79"/>
      <c r="C306" s="47"/>
      <c r="D306" s="49"/>
      <c r="E306" s="49"/>
      <c r="F306" s="49"/>
      <c r="G306" s="49"/>
      <c r="H306" s="49"/>
      <c r="I306" s="49"/>
      <c r="J306" s="49"/>
      <c r="K306" s="51"/>
      <c r="L306" s="51"/>
      <c r="M306" s="51"/>
      <c r="N306" s="99"/>
      <c r="O306" s="51"/>
      <c r="P306" s="51">
        <f t="shared" si="121"/>
        <v>0</v>
      </c>
      <c r="Q306" s="51"/>
      <c r="R306" s="51"/>
      <c r="S306" s="51"/>
      <c r="T306" s="51"/>
      <c r="U306" s="51"/>
      <c r="V306" s="51"/>
    </row>
    <row r="307" spans="1:22" hidden="1" x14ac:dyDescent="0.2">
      <c r="A307" s="78"/>
      <c r="B307" s="79"/>
      <c r="C307" s="78"/>
      <c r="D307" s="80"/>
      <c r="E307" s="80"/>
      <c r="F307" s="80"/>
      <c r="G307" s="80"/>
      <c r="H307" s="80"/>
      <c r="I307" s="80"/>
      <c r="J307" s="110"/>
      <c r="K307" s="94"/>
      <c r="L307" s="94"/>
      <c r="M307" s="94"/>
      <c r="N307" s="99"/>
      <c r="O307" s="94"/>
      <c r="P307" s="51">
        <f t="shared" si="121"/>
        <v>0</v>
      </c>
      <c r="Q307" s="94"/>
      <c r="R307" s="94"/>
      <c r="S307" s="94"/>
      <c r="T307" s="94"/>
      <c r="U307" s="94"/>
      <c r="V307" s="51"/>
    </row>
    <row r="308" spans="1:22" x14ac:dyDescent="0.2">
      <c r="A308" s="78" t="s">
        <v>67</v>
      </c>
      <c r="B308" s="106" t="s">
        <v>25</v>
      </c>
      <c r="C308" s="78">
        <f>C309+C311</f>
        <v>1</v>
      </c>
      <c r="D308" s="80"/>
      <c r="E308" s="80"/>
      <c r="F308" s="88"/>
      <c r="G308" s="88"/>
      <c r="H308" s="88"/>
      <c r="I308" s="88"/>
      <c r="J308" s="88"/>
      <c r="K308" s="94">
        <f>K309+K311</f>
        <v>29150</v>
      </c>
      <c r="L308" s="94">
        <f t="shared" ref="L308:U308" si="137">L309+L311</f>
        <v>26400</v>
      </c>
      <c r="M308" s="94">
        <f t="shared" si="137"/>
        <v>26400</v>
      </c>
      <c r="N308" s="94">
        <f t="shared" si="137"/>
        <v>304</v>
      </c>
      <c r="O308" s="94">
        <f t="shared" si="137"/>
        <v>22000</v>
      </c>
      <c r="P308" s="94">
        <f t="shared" si="137"/>
        <v>16000</v>
      </c>
      <c r="Q308" s="94">
        <f t="shared" si="137"/>
        <v>16000</v>
      </c>
      <c r="R308" s="94">
        <f t="shared" si="137"/>
        <v>0</v>
      </c>
      <c r="S308" s="94">
        <f t="shared" si="137"/>
        <v>0</v>
      </c>
      <c r="T308" s="94">
        <f t="shared" si="137"/>
        <v>0</v>
      </c>
      <c r="U308" s="94">
        <f t="shared" si="137"/>
        <v>0</v>
      </c>
      <c r="V308" s="51"/>
    </row>
    <row r="309" spans="1:22" s="83" customFormat="1" x14ac:dyDescent="0.2">
      <c r="A309" s="78" t="s">
        <v>697</v>
      </c>
      <c r="B309" s="93" t="s">
        <v>475</v>
      </c>
      <c r="C309" s="78">
        <f>C310</f>
        <v>1</v>
      </c>
      <c r="D309" s="80">
        <v>0</v>
      </c>
      <c r="E309" s="80"/>
      <c r="F309" s="80"/>
      <c r="G309" s="80"/>
      <c r="H309" s="80"/>
      <c r="I309" s="80"/>
      <c r="J309" s="80"/>
      <c r="K309" s="82">
        <f>K310</f>
        <v>29150</v>
      </c>
      <c r="L309" s="82">
        <f t="shared" ref="L309:U309" si="138">L310</f>
        <v>26400</v>
      </c>
      <c r="M309" s="82">
        <f t="shared" si="138"/>
        <v>26400</v>
      </c>
      <c r="N309" s="82">
        <f t="shared" si="138"/>
        <v>304</v>
      </c>
      <c r="O309" s="82">
        <f t="shared" si="138"/>
        <v>22000</v>
      </c>
      <c r="P309" s="82">
        <f t="shared" si="138"/>
        <v>16000</v>
      </c>
      <c r="Q309" s="82">
        <f t="shared" si="138"/>
        <v>16000</v>
      </c>
      <c r="R309" s="82">
        <f t="shared" si="138"/>
        <v>0</v>
      </c>
      <c r="S309" s="82">
        <f t="shared" si="138"/>
        <v>0</v>
      </c>
      <c r="T309" s="82">
        <f t="shared" si="138"/>
        <v>0</v>
      </c>
      <c r="U309" s="82">
        <f t="shared" si="138"/>
        <v>0</v>
      </c>
      <c r="V309" s="82"/>
    </row>
    <row r="310" spans="1:22" s="97" customFormat="1" ht="47.25" x14ac:dyDescent="0.2">
      <c r="A310" s="47">
        <v>1</v>
      </c>
      <c r="B310" s="104" t="s">
        <v>605</v>
      </c>
      <c r="C310" s="47">
        <v>1</v>
      </c>
      <c r="D310" s="49" t="s">
        <v>964</v>
      </c>
      <c r="E310" s="49"/>
      <c r="F310" s="55" t="s">
        <v>26</v>
      </c>
      <c r="G310" s="55"/>
      <c r="H310" s="55"/>
      <c r="I310" s="49" t="s">
        <v>75</v>
      </c>
      <c r="J310" s="55" t="s">
        <v>606</v>
      </c>
      <c r="K310" s="92">
        <v>29150</v>
      </c>
      <c r="L310" s="51">
        <v>26400</v>
      </c>
      <c r="M310" s="51">
        <v>26400</v>
      </c>
      <c r="N310" s="99">
        <v>304</v>
      </c>
      <c r="O310" s="51">
        <v>22000</v>
      </c>
      <c r="P310" s="51">
        <f t="shared" si="121"/>
        <v>16000</v>
      </c>
      <c r="Q310" s="51">
        <v>16000</v>
      </c>
      <c r="R310" s="51"/>
      <c r="S310" s="51"/>
      <c r="T310" s="51"/>
      <c r="U310" s="51"/>
      <c r="V310" s="96"/>
    </row>
    <row r="311" spans="1:22" s="83" customFormat="1" hidden="1" x14ac:dyDescent="0.2">
      <c r="A311" s="78" t="s">
        <v>698</v>
      </c>
      <c r="B311" s="93" t="s">
        <v>474</v>
      </c>
      <c r="C311" s="94">
        <f>C312</f>
        <v>0</v>
      </c>
      <c r="D311" s="49"/>
      <c r="E311" s="49"/>
      <c r="F311" s="55"/>
      <c r="G311" s="55"/>
      <c r="H311" s="55"/>
      <c r="I311" s="49"/>
      <c r="J311" s="55"/>
      <c r="K311" s="94">
        <f>K312</f>
        <v>0</v>
      </c>
      <c r="L311" s="94">
        <f t="shared" ref="L311:U311" si="139">L312</f>
        <v>0</v>
      </c>
      <c r="M311" s="94">
        <f t="shared" si="139"/>
        <v>0</v>
      </c>
      <c r="N311" s="94">
        <f t="shared" si="139"/>
        <v>0</v>
      </c>
      <c r="O311" s="94">
        <f t="shared" si="139"/>
        <v>0</v>
      </c>
      <c r="P311" s="94">
        <f t="shared" si="139"/>
        <v>0</v>
      </c>
      <c r="Q311" s="94">
        <f t="shared" si="139"/>
        <v>0</v>
      </c>
      <c r="R311" s="94">
        <f t="shared" si="139"/>
        <v>0</v>
      </c>
      <c r="S311" s="94">
        <f t="shared" si="139"/>
        <v>0</v>
      </c>
      <c r="T311" s="94">
        <f t="shared" si="139"/>
        <v>0</v>
      </c>
      <c r="U311" s="94">
        <f t="shared" si="139"/>
        <v>0</v>
      </c>
      <c r="V311" s="82"/>
    </row>
    <row r="312" spans="1:22" hidden="1" x14ac:dyDescent="0.2">
      <c r="A312" s="47"/>
      <c r="B312" s="104"/>
      <c r="C312" s="47"/>
      <c r="D312" s="49"/>
      <c r="E312" s="49"/>
      <c r="F312" s="55"/>
      <c r="G312" s="55"/>
      <c r="H312" s="55"/>
      <c r="I312" s="49"/>
      <c r="J312" s="163"/>
      <c r="K312" s="300"/>
      <c r="L312" s="51"/>
      <c r="M312" s="51"/>
      <c r="N312" s="99"/>
      <c r="O312" s="51"/>
      <c r="P312" s="51"/>
      <c r="Q312" s="51"/>
      <c r="R312" s="51"/>
      <c r="S312" s="51"/>
      <c r="T312" s="51"/>
      <c r="U312" s="51"/>
      <c r="V312" s="51"/>
    </row>
    <row r="313" spans="1:22" ht="31.5" x14ac:dyDescent="0.2">
      <c r="A313" s="78" t="s">
        <v>68</v>
      </c>
      <c r="B313" s="106" t="s">
        <v>65</v>
      </c>
      <c r="C313" s="78">
        <f>C314+C322+C339</f>
        <v>31</v>
      </c>
      <c r="D313" s="80"/>
      <c r="E313" s="80"/>
      <c r="F313" s="88"/>
      <c r="G313" s="88"/>
      <c r="H313" s="88"/>
      <c r="I313" s="88"/>
      <c r="J313" s="88"/>
      <c r="K313" s="82">
        <f>K314+K322+K339</f>
        <v>4064051.2770000002</v>
      </c>
      <c r="L313" s="82">
        <f t="shared" ref="L313:U313" si="140">L314+L322+L339</f>
        <v>2956600</v>
      </c>
      <c r="M313" s="82">
        <f t="shared" si="140"/>
        <v>2076500</v>
      </c>
      <c r="N313" s="82">
        <f t="shared" si="140"/>
        <v>604344</v>
      </c>
      <c r="O313" s="82">
        <f t="shared" si="140"/>
        <v>589446</v>
      </c>
      <c r="P313" s="82">
        <f t="shared" si="140"/>
        <v>992607</v>
      </c>
      <c r="Q313" s="82">
        <f t="shared" si="140"/>
        <v>176296</v>
      </c>
      <c r="R313" s="82">
        <f t="shared" si="140"/>
        <v>310146</v>
      </c>
      <c r="S313" s="82">
        <f t="shared" si="140"/>
        <v>0</v>
      </c>
      <c r="T313" s="82">
        <f t="shared" si="140"/>
        <v>0</v>
      </c>
      <c r="U313" s="82">
        <f t="shared" si="140"/>
        <v>506165</v>
      </c>
      <c r="V313" s="51"/>
    </row>
    <row r="314" spans="1:22" x14ac:dyDescent="0.2">
      <c r="A314" s="78" t="s">
        <v>699</v>
      </c>
      <c r="B314" s="93" t="s">
        <v>686</v>
      </c>
      <c r="C314" s="78">
        <f>C315</f>
        <v>6</v>
      </c>
      <c r="D314" s="80"/>
      <c r="E314" s="80"/>
      <c r="F314" s="49"/>
      <c r="G314" s="49"/>
      <c r="H314" s="49"/>
      <c r="I314" s="49"/>
      <c r="J314" s="49"/>
      <c r="K314" s="82">
        <f>K315</f>
        <v>286545.875</v>
      </c>
      <c r="L314" s="82">
        <f t="shared" ref="L314:U314" si="141">L315</f>
        <v>241100</v>
      </c>
      <c r="M314" s="82">
        <f t="shared" si="141"/>
        <v>180500</v>
      </c>
      <c r="N314" s="82">
        <f t="shared" si="141"/>
        <v>140364</v>
      </c>
      <c r="O314" s="82">
        <f t="shared" si="141"/>
        <v>21300</v>
      </c>
      <c r="P314" s="82">
        <f t="shared" si="141"/>
        <v>40130</v>
      </c>
      <c r="Q314" s="82">
        <f t="shared" si="141"/>
        <v>40130</v>
      </c>
      <c r="R314" s="82">
        <f t="shared" si="141"/>
        <v>0</v>
      </c>
      <c r="S314" s="82">
        <f t="shared" si="141"/>
        <v>0</v>
      </c>
      <c r="T314" s="82">
        <f t="shared" si="141"/>
        <v>0</v>
      </c>
      <c r="U314" s="82">
        <f t="shared" si="141"/>
        <v>0</v>
      </c>
      <c r="V314" s="51"/>
    </row>
    <row r="315" spans="1:22" s="97" customFormat="1" ht="47.25" x14ac:dyDescent="0.2">
      <c r="A315" s="78"/>
      <c r="B315" s="98" t="s">
        <v>618</v>
      </c>
      <c r="C315" s="78">
        <f>SUM(C316:C321)</f>
        <v>6</v>
      </c>
      <c r="D315" s="80" t="s">
        <v>299</v>
      </c>
      <c r="E315" s="80"/>
      <c r="F315" s="80" t="s">
        <v>556</v>
      </c>
      <c r="G315" s="80"/>
      <c r="H315" s="80"/>
      <c r="I315" s="80" t="s">
        <v>90</v>
      </c>
      <c r="J315" s="80"/>
      <c r="K315" s="94">
        <f>SUM(K316:K321)</f>
        <v>286545.875</v>
      </c>
      <c r="L315" s="94">
        <f t="shared" ref="L315:U315" si="142">SUM(L316:L321)</f>
        <v>241100</v>
      </c>
      <c r="M315" s="94">
        <f t="shared" si="142"/>
        <v>180500</v>
      </c>
      <c r="N315" s="94">
        <f t="shared" si="142"/>
        <v>140364</v>
      </c>
      <c r="O315" s="94">
        <f t="shared" si="142"/>
        <v>21300</v>
      </c>
      <c r="P315" s="94">
        <f t="shared" si="142"/>
        <v>40130</v>
      </c>
      <c r="Q315" s="94">
        <f t="shared" si="142"/>
        <v>40130</v>
      </c>
      <c r="R315" s="94">
        <f t="shared" si="142"/>
        <v>0</v>
      </c>
      <c r="S315" s="94">
        <f t="shared" si="142"/>
        <v>0</v>
      </c>
      <c r="T315" s="94">
        <f t="shared" si="142"/>
        <v>0</v>
      </c>
      <c r="U315" s="94">
        <f t="shared" si="142"/>
        <v>0</v>
      </c>
      <c r="V315" s="96"/>
    </row>
    <row r="316" spans="1:22" ht="78.75" x14ac:dyDescent="0.2">
      <c r="A316" s="47">
        <v>1</v>
      </c>
      <c r="B316" s="52" t="s">
        <v>622</v>
      </c>
      <c r="C316" s="47">
        <v>1</v>
      </c>
      <c r="D316" s="49" t="s">
        <v>240</v>
      </c>
      <c r="E316" s="49"/>
      <c r="F316" s="49" t="s">
        <v>239</v>
      </c>
      <c r="G316" s="49"/>
      <c r="H316" s="49"/>
      <c r="I316" s="49" t="s">
        <v>80</v>
      </c>
      <c r="J316" s="55" t="s">
        <v>623</v>
      </c>
      <c r="K316" s="51">
        <v>31857</v>
      </c>
      <c r="L316" s="51">
        <v>28600</v>
      </c>
      <c r="M316" s="51">
        <v>20000</v>
      </c>
      <c r="N316" s="99">
        <v>18670</v>
      </c>
      <c r="O316" s="92">
        <v>0</v>
      </c>
      <c r="P316" s="51">
        <f t="shared" ref="P316:P321" si="143">SUM(Q316:U316)</f>
        <v>1330</v>
      </c>
      <c r="Q316" s="51">
        <v>1330</v>
      </c>
      <c r="R316" s="51"/>
      <c r="S316" s="51"/>
      <c r="T316" s="51"/>
      <c r="U316" s="51"/>
      <c r="V316" s="51"/>
    </row>
    <row r="317" spans="1:22" s="97" customFormat="1" ht="78.75" x14ac:dyDescent="0.2">
      <c r="A317" s="47">
        <v>2</v>
      </c>
      <c r="B317" s="111" t="s">
        <v>624</v>
      </c>
      <c r="C317" s="47">
        <v>1</v>
      </c>
      <c r="D317" s="49" t="s">
        <v>89</v>
      </c>
      <c r="E317" s="49"/>
      <c r="F317" s="49" t="s">
        <v>297</v>
      </c>
      <c r="G317" s="49"/>
      <c r="H317" s="49"/>
      <c r="I317" s="49" t="s">
        <v>80</v>
      </c>
      <c r="J317" s="55" t="s">
        <v>625</v>
      </c>
      <c r="K317" s="51">
        <v>21388</v>
      </c>
      <c r="L317" s="51">
        <v>20000</v>
      </c>
      <c r="M317" s="51">
        <v>15000</v>
      </c>
      <c r="N317" s="99">
        <v>11500</v>
      </c>
      <c r="O317" s="113">
        <v>0</v>
      </c>
      <c r="P317" s="51">
        <f t="shared" si="143"/>
        <v>3500</v>
      </c>
      <c r="Q317" s="113">
        <v>3500</v>
      </c>
      <c r="R317" s="51"/>
      <c r="S317" s="51"/>
      <c r="T317" s="51"/>
      <c r="U317" s="51"/>
      <c r="V317" s="96"/>
    </row>
    <row r="318" spans="1:22" ht="63" x14ac:dyDescent="0.2">
      <c r="A318" s="47">
        <v>3</v>
      </c>
      <c r="B318" s="111" t="s">
        <v>631</v>
      </c>
      <c r="C318" s="47">
        <v>1</v>
      </c>
      <c r="D318" s="49" t="s">
        <v>82</v>
      </c>
      <c r="E318" s="49"/>
      <c r="F318" s="49" t="s">
        <v>558</v>
      </c>
      <c r="G318" s="49"/>
      <c r="H318" s="49"/>
      <c r="I318" s="49" t="s">
        <v>75</v>
      </c>
      <c r="J318" s="55" t="s">
        <v>632</v>
      </c>
      <c r="K318" s="58">
        <v>64336.159</v>
      </c>
      <c r="L318" s="51">
        <v>40500</v>
      </c>
      <c r="M318" s="51">
        <v>31500</v>
      </c>
      <c r="N318" s="99">
        <v>24194</v>
      </c>
      <c r="O318" s="51">
        <v>7300</v>
      </c>
      <c r="P318" s="51">
        <f t="shared" si="143"/>
        <v>7300</v>
      </c>
      <c r="Q318" s="51">
        <v>7300</v>
      </c>
      <c r="R318" s="51"/>
      <c r="S318" s="51"/>
      <c r="T318" s="51"/>
      <c r="U318" s="51"/>
      <c r="V318" s="51"/>
    </row>
    <row r="319" spans="1:22" ht="47.25" x14ac:dyDescent="0.2">
      <c r="A319" s="47">
        <v>4</v>
      </c>
      <c r="B319" s="111" t="s">
        <v>633</v>
      </c>
      <c r="C319" s="47">
        <v>1</v>
      </c>
      <c r="D319" s="49" t="s">
        <v>91</v>
      </c>
      <c r="E319" s="49"/>
      <c r="F319" s="49" t="s">
        <v>589</v>
      </c>
      <c r="G319" s="49"/>
      <c r="H319" s="49"/>
      <c r="I319" s="49" t="s">
        <v>75</v>
      </c>
      <c r="J319" s="55" t="s">
        <v>205</v>
      </c>
      <c r="K319" s="51">
        <v>31481</v>
      </c>
      <c r="L319" s="51">
        <v>28300</v>
      </c>
      <c r="M319" s="51">
        <v>25000</v>
      </c>
      <c r="N319" s="99">
        <v>11000</v>
      </c>
      <c r="O319" s="85">
        <v>14000</v>
      </c>
      <c r="P319" s="51">
        <f t="shared" si="143"/>
        <v>14000</v>
      </c>
      <c r="Q319" s="51">
        <v>14000</v>
      </c>
      <c r="R319" s="51"/>
      <c r="S319" s="51"/>
      <c r="T319" s="51"/>
      <c r="U319" s="51"/>
      <c r="V319" s="51"/>
    </row>
    <row r="320" spans="1:22" ht="63" x14ac:dyDescent="0.2">
      <c r="A320" s="47">
        <v>5</v>
      </c>
      <c r="B320" s="52" t="s">
        <v>465</v>
      </c>
      <c r="C320" s="47">
        <v>1</v>
      </c>
      <c r="D320" s="49" t="s">
        <v>93</v>
      </c>
      <c r="E320" s="49"/>
      <c r="F320" s="49" t="s">
        <v>612</v>
      </c>
      <c r="G320" s="49"/>
      <c r="H320" s="49"/>
      <c r="I320" s="49" t="s">
        <v>80</v>
      </c>
      <c r="J320" s="55" t="s">
        <v>981</v>
      </c>
      <c r="K320" s="51">
        <v>53375</v>
      </c>
      <c r="L320" s="51">
        <v>48000</v>
      </c>
      <c r="M320" s="51">
        <v>27000</v>
      </c>
      <c r="N320" s="99">
        <v>20000</v>
      </c>
      <c r="O320" s="92">
        <v>0</v>
      </c>
      <c r="P320" s="51">
        <f t="shared" si="143"/>
        <v>7000</v>
      </c>
      <c r="Q320" s="92">
        <v>7000</v>
      </c>
      <c r="R320" s="51"/>
      <c r="S320" s="51"/>
      <c r="T320" s="51"/>
      <c r="U320" s="51"/>
      <c r="V320" s="51"/>
    </row>
    <row r="321" spans="1:22" ht="78.75" x14ac:dyDescent="0.2">
      <c r="A321" s="47">
        <v>6</v>
      </c>
      <c r="B321" s="111" t="s">
        <v>466</v>
      </c>
      <c r="C321" s="47">
        <v>1</v>
      </c>
      <c r="D321" s="49" t="s">
        <v>71</v>
      </c>
      <c r="E321" s="49"/>
      <c r="F321" s="49" t="s">
        <v>630</v>
      </c>
      <c r="G321" s="49"/>
      <c r="H321" s="49"/>
      <c r="I321" s="49" t="s">
        <v>80</v>
      </c>
      <c r="J321" s="55" t="s">
        <v>982</v>
      </c>
      <c r="K321" s="51">
        <v>84108.716</v>
      </c>
      <c r="L321" s="51">
        <v>75700</v>
      </c>
      <c r="M321" s="51">
        <v>62000</v>
      </c>
      <c r="N321" s="99">
        <v>55000</v>
      </c>
      <c r="O321" s="51">
        <v>0</v>
      </c>
      <c r="P321" s="51">
        <f t="shared" si="143"/>
        <v>7000</v>
      </c>
      <c r="Q321" s="114">
        <v>7000</v>
      </c>
      <c r="R321" s="51"/>
      <c r="S321" s="51"/>
      <c r="T321" s="51"/>
      <c r="U321" s="51"/>
      <c r="V321" s="51"/>
    </row>
    <row r="322" spans="1:22" s="97" customFormat="1" x14ac:dyDescent="0.2">
      <c r="A322" s="78" t="s">
        <v>700</v>
      </c>
      <c r="B322" s="93" t="s">
        <v>475</v>
      </c>
      <c r="C322" s="78">
        <f>C323+C328</f>
        <v>14</v>
      </c>
      <c r="D322" s="80"/>
      <c r="E322" s="80"/>
      <c r="F322" s="49"/>
      <c r="G322" s="49"/>
      <c r="H322" s="49"/>
      <c r="I322" s="49"/>
      <c r="J322" s="49"/>
      <c r="K322" s="82">
        <f t="shared" ref="K322:U322" si="144">K323+K328</f>
        <v>1781337.8670000003</v>
      </c>
      <c r="L322" s="82">
        <f t="shared" si="144"/>
        <v>1584900</v>
      </c>
      <c r="M322" s="82">
        <f t="shared" si="144"/>
        <v>1027000</v>
      </c>
      <c r="N322" s="82">
        <f t="shared" si="144"/>
        <v>459402</v>
      </c>
      <c r="O322" s="82">
        <f t="shared" si="144"/>
        <v>356000</v>
      </c>
      <c r="P322" s="82">
        <f t="shared" si="144"/>
        <v>409279</v>
      </c>
      <c r="Q322" s="82">
        <f t="shared" si="144"/>
        <v>116166</v>
      </c>
      <c r="R322" s="82">
        <f t="shared" si="144"/>
        <v>109113</v>
      </c>
      <c r="S322" s="82">
        <f t="shared" si="144"/>
        <v>0</v>
      </c>
      <c r="T322" s="82">
        <f t="shared" si="144"/>
        <v>0</v>
      </c>
      <c r="U322" s="82">
        <f t="shared" si="144"/>
        <v>184000</v>
      </c>
      <c r="V322" s="96"/>
    </row>
    <row r="323" spans="1:22" ht="47.25" x14ac:dyDescent="0.2">
      <c r="A323" s="78"/>
      <c r="B323" s="98" t="s">
        <v>607</v>
      </c>
      <c r="C323" s="78">
        <f>SUM(C324:C327)</f>
        <v>4</v>
      </c>
      <c r="D323" s="80" t="s">
        <v>299</v>
      </c>
      <c r="E323" s="80"/>
      <c r="F323" s="80"/>
      <c r="G323" s="80"/>
      <c r="H323" s="80"/>
      <c r="I323" s="80"/>
      <c r="J323" s="80"/>
      <c r="K323" s="94">
        <f t="shared" ref="K323:U323" si="145">SUM(K324:K327)</f>
        <v>444832.712</v>
      </c>
      <c r="L323" s="94">
        <f t="shared" si="145"/>
        <v>412500</v>
      </c>
      <c r="M323" s="94">
        <f t="shared" si="145"/>
        <v>383000</v>
      </c>
      <c r="N323" s="94">
        <f t="shared" si="145"/>
        <v>122887</v>
      </c>
      <c r="O323" s="94">
        <f t="shared" si="145"/>
        <v>100000</v>
      </c>
      <c r="P323" s="94">
        <f t="shared" si="145"/>
        <v>260113</v>
      </c>
      <c r="Q323" s="94">
        <f t="shared" si="145"/>
        <v>0</v>
      </c>
      <c r="R323" s="94">
        <f t="shared" si="145"/>
        <v>76113</v>
      </c>
      <c r="S323" s="94">
        <f t="shared" si="145"/>
        <v>0</v>
      </c>
      <c r="T323" s="94">
        <f t="shared" si="145"/>
        <v>0</v>
      </c>
      <c r="U323" s="94">
        <f t="shared" si="145"/>
        <v>184000</v>
      </c>
      <c r="V323" s="51"/>
    </row>
    <row r="324" spans="1:22" ht="47.25" x14ac:dyDescent="0.2">
      <c r="A324" s="47">
        <v>1</v>
      </c>
      <c r="B324" s="111" t="s">
        <v>608</v>
      </c>
      <c r="C324" s="47">
        <v>1</v>
      </c>
      <c r="D324" s="49" t="s">
        <v>73</v>
      </c>
      <c r="E324" s="49"/>
      <c r="F324" s="112" t="s">
        <v>609</v>
      </c>
      <c r="G324" s="112"/>
      <c r="H324" s="112"/>
      <c r="I324" s="112" t="s">
        <v>537</v>
      </c>
      <c r="J324" s="55" t="s">
        <v>610</v>
      </c>
      <c r="K324" s="51">
        <v>133577.01</v>
      </c>
      <c r="L324" s="51">
        <v>120500</v>
      </c>
      <c r="M324" s="51">
        <v>100000</v>
      </c>
      <c r="N324" s="99">
        <v>25000</v>
      </c>
      <c r="O324" s="92">
        <v>50000</v>
      </c>
      <c r="P324" s="51">
        <f t="shared" si="121"/>
        <v>75000</v>
      </c>
      <c r="Q324" s="92"/>
      <c r="R324" s="51">
        <v>50000</v>
      </c>
      <c r="S324" s="51"/>
      <c r="T324" s="51"/>
      <c r="U324" s="51">
        <v>25000</v>
      </c>
      <c r="V324" s="51"/>
    </row>
    <row r="325" spans="1:22" ht="47.25" x14ac:dyDescent="0.2">
      <c r="A325" s="47">
        <v>2</v>
      </c>
      <c r="B325" s="111" t="s">
        <v>611</v>
      </c>
      <c r="C325" s="47">
        <v>1</v>
      </c>
      <c r="D325" s="49" t="s">
        <v>93</v>
      </c>
      <c r="E325" s="49"/>
      <c r="F325" s="112" t="s">
        <v>612</v>
      </c>
      <c r="G325" s="112"/>
      <c r="H325" s="112"/>
      <c r="I325" s="112" t="s">
        <v>537</v>
      </c>
      <c r="J325" s="55" t="s">
        <v>613</v>
      </c>
      <c r="K325" s="51">
        <v>61535.264999999999</v>
      </c>
      <c r="L325" s="51">
        <v>61000</v>
      </c>
      <c r="M325" s="51">
        <v>61000</v>
      </c>
      <c r="N325" s="99">
        <v>21000</v>
      </c>
      <c r="O325" s="92">
        <v>50000</v>
      </c>
      <c r="P325" s="51">
        <f t="shared" si="121"/>
        <v>40000</v>
      </c>
      <c r="Q325" s="92"/>
      <c r="R325" s="51">
        <v>26113</v>
      </c>
      <c r="S325" s="51"/>
      <c r="T325" s="51"/>
      <c r="U325" s="51">
        <v>13887</v>
      </c>
      <c r="V325" s="51"/>
    </row>
    <row r="326" spans="1:22" ht="47.25" x14ac:dyDescent="0.2">
      <c r="A326" s="47">
        <v>3</v>
      </c>
      <c r="B326" s="111" t="s">
        <v>614</v>
      </c>
      <c r="C326" s="47">
        <v>1</v>
      </c>
      <c r="D326" s="49" t="s">
        <v>93</v>
      </c>
      <c r="E326" s="49"/>
      <c r="F326" s="112" t="s">
        <v>612</v>
      </c>
      <c r="G326" s="112"/>
      <c r="H326" s="112"/>
      <c r="I326" s="112" t="s">
        <v>537</v>
      </c>
      <c r="J326" s="55" t="s">
        <v>615</v>
      </c>
      <c r="K326" s="51">
        <v>176868.94699999999</v>
      </c>
      <c r="L326" s="51">
        <v>159000</v>
      </c>
      <c r="M326" s="51">
        <v>150000</v>
      </c>
      <c r="N326" s="99">
        <v>66887</v>
      </c>
      <c r="O326" s="92">
        <v>0</v>
      </c>
      <c r="P326" s="51">
        <f t="shared" si="121"/>
        <v>83113</v>
      </c>
      <c r="Q326" s="92"/>
      <c r="R326" s="51"/>
      <c r="S326" s="51"/>
      <c r="T326" s="51"/>
      <c r="U326" s="51">
        <v>83113</v>
      </c>
      <c r="V326" s="51"/>
    </row>
    <row r="327" spans="1:22" ht="47.25" x14ac:dyDescent="0.2">
      <c r="A327" s="47">
        <v>4</v>
      </c>
      <c r="B327" s="111" t="s">
        <v>616</v>
      </c>
      <c r="C327" s="47">
        <v>1</v>
      </c>
      <c r="D327" s="49" t="s">
        <v>93</v>
      </c>
      <c r="E327" s="49"/>
      <c r="F327" s="112" t="s">
        <v>612</v>
      </c>
      <c r="G327" s="112"/>
      <c r="H327" s="112"/>
      <c r="I327" s="112" t="s">
        <v>103</v>
      </c>
      <c r="J327" s="55" t="s">
        <v>617</v>
      </c>
      <c r="K327" s="58">
        <v>72851.490000000005</v>
      </c>
      <c r="L327" s="51">
        <v>72000</v>
      </c>
      <c r="M327" s="51">
        <v>72000</v>
      </c>
      <c r="N327" s="99">
        <v>10000</v>
      </c>
      <c r="O327" s="92">
        <v>0</v>
      </c>
      <c r="P327" s="51">
        <f t="shared" si="121"/>
        <v>62000</v>
      </c>
      <c r="Q327" s="92"/>
      <c r="R327" s="51"/>
      <c r="S327" s="51"/>
      <c r="T327" s="51"/>
      <c r="U327" s="51">
        <v>62000</v>
      </c>
      <c r="V327" s="51"/>
    </row>
    <row r="328" spans="1:22" ht="47.25" x14ac:dyDescent="0.2">
      <c r="A328" s="78"/>
      <c r="B328" s="98" t="s">
        <v>618</v>
      </c>
      <c r="C328" s="78">
        <f>SUM(C329:C338)</f>
        <v>10</v>
      </c>
      <c r="D328" s="80" t="s">
        <v>299</v>
      </c>
      <c r="E328" s="80"/>
      <c r="F328" s="80" t="s">
        <v>556</v>
      </c>
      <c r="G328" s="80"/>
      <c r="H328" s="80"/>
      <c r="I328" s="80" t="s">
        <v>90</v>
      </c>
      <c r="J328" s="80"/>
      <c r="K328" s="94">
        <f t="shared" ref="K328:U328" si="146">SUM(K329:K338)</f>
        <v>1336505.1550000003</v>
      </c>
      <c r="L328" s="94">
        <f t="shared" si="146"/>
        <v>1172400</v>
      </c>
      <c r="M328" s="94">
        <f t="shared" si="146"/>
        <v>644000</v>
      </c>
      <c r="N328" s="94">
        <f t="shared" si="146"/>
        <v>336515</v>
      </c>
      <c r="O328" s="94">
        <f t="shared" si="146"/>
        <v>256000</v>
      </c>
      <c r="P328" s="94">
        <f t="shared" si="146"/>
        <v>149166</v>
      </c>
      <c r="Q328" s="94">
        <f t="shared" si="146"/>
        <v>116166</v>
      </c>
      <c r="R328" s="94">
        <f t="shared" si="146"/>
        <v>33000</v>
      </c>
      <c r="S328" s="94">
        <f t="shared" si="146"/>
        <v>0</v>
      </c>
      <c r="T328" s="94">
        <f t="shared" si="146"/>
        <v>0</v>
      </c>
      <c r="U328" s="94">
        <f t="shared" si="146"/>
        <v>0</v>
      </c>
      <c r="V328" s="51"/>
    </row>
    <row r="329" spans="1:22" ht="63" x14ac:dyDescent="0.2">
      <c r="A329" s="47">
        <v>5</v>
      </c>
      <c r="B329" s="52" t="s">
        <v>619</v>
      </c>
      <c r="C329" s="47">
        <v>1</v>
      </c>
      <c r="D329" s="49" t="s">
        <v>73</v>
      </c>
      <c r="E329" s="49"/>
      <c r="F329" s="49" t="s">
        <v>609</v>
      </c>
      <c r="G329" s="49"/>
      <c r="H329" s="49"/>
      <c r="I329" s="49" t="s">
        <v>80</v>
      </c>
      <c r="J329" s="55" t="s">
        <v>620</v>
      </c>
      <c r="K329" s="51">
        <v>147164.864</v>
      </c>
      <c r="L329" s="51">
        <v>147000</v>
      </c>
      <c r="M329" s="51">
        <v>128000</v>
      </c>
      <c r="N329" s="99">
        <v>95000</v>
      </c>
      <c r="O329" s="51">
        <v>33000</v>
      </c>
      <c r="P329" s="51">
        <f t="shared" si="121"/>
        <v>33000</v>
      </c>
      <c r="Q329" s="51"/>
      <c r="R329" s="51">
        <v>33000</v>
      </c>
      <c r="S329" s="51"/>
      <c r="T329" s="51"/>
      <c r="U329" s="51"/>
      <c r="V329" s="51"/>
    </row>
    <row r="330" spans="1:22" ht="78.75" x14ac:dyDescent="0.2">
      <c r="A330" s="47">
        <v>6</v>
      </c>
      <c r="B330" s="52" t="s">
        <v>621</v>
      </c>
      <c r="C330" s="47">
        <v>1</v>
      </c>
      <c r="D330" s="49" t="s">
        <v>93</v>
      </c>
      <c r="E330" s="49"/>
      <c r="F330" s="49" t="s">
        <v>612</v>
      </c>
      <c r="G330" s="49"/>
      <c r="H330" s="49"/>
      <c r="I330" s="49" t="s">
        <v>80</v>
      </c>
      <c r="J330" s="55" t="s">
        <v>983</v>
      </c>
      <c r="K330" s="51">
        <v>215740.02299999999</v>
      </c>
      <c r="L330" s="51">
        <v>194000</v>
      </c>
      <c r="M330" s="51">
        <v>100000</v>
      </c>
      <c r="N330" s="99">
        <v>87000</v>
      </c>
      <c r="O330" s="113">
        <v>0</v>
      </c>
      <c r="P330" s="51">
        <f t="shared" ref="P330:P367" si="147">SUM(Q330:U330)</f>
        <v>13000</v>
      </c>
      <c r="Q330" s="113">
        <v>13000</v>
      </c>
      <c r="R330" s="51"/>
      <c r="S330" s="51"/>
      <c r="T330" s="51"/>
      <c r="U330" s="51"/>
      <c r="V330" s="51"/>
    </row>
    <row r="331" spans="1:22" ht="78.75" x14ac:dyDescent="0.2">
      <c r="A331" s="47">
        <v>7</v>
      </c>
      <c r="B331" s="111" t="s">
        <v>626</v>
      </c>
      <c r="C331" s="47">
        <v>1</v>
      </c>
      <c r="D331" s="49" t="s">
        <v>89</v>
      </c>
      <c r="E331" s="49"/>
      <c r="F331" s="49" t="s">
        <v>297</v>
      </c>
      <c r="G331" s="49"/>
      <c r="H331" s="49"/>
      <c r="I331" s="49" t="s">
        <v>80</v>
      </c>
      <c r="J331" s="55" t="s">
        <v>627</v>
      </c>
      <c r="K331" s="51">
        <v>70335</v>
      </c>
      <c r="L331" s="51">
        <v>63300</v>
      </c>
      <c r="M331" s="51">
        <v>30000</v>
      </c>
      <c r="N331" s="99">
        <v>27600</v>
      </c>
      <c r="O331" s="51">
        <v>7000</v>
      </c>
      <c r="P331" s="51">
        <f t="shared" si="147"/>
        <v>2400</v>
      </c>
      <c r="Q331" s="51">
        <v>2400</v>
      </c>
      <c r="R331" s="51"/>
      <c r="S331" s="51"/>
      <c r="T331" s="51"/>
      <c r="U331" s="51"/>
      <c r="V331" s="51"/>
    </row>
    <row r="332" spans="1:22" ht="47.25" x14ac:dyDescent="0.2">
      <c r="A332" s="47">
        <v>8</v>
      </c>
      <c r="B332" s="111" t="s">
        <v>628</v>
      </c>
      <c r="C332" s="47">
        <v>1</v>
      </c>
      <c r="D332" s="49" t="s">
        <v>89</v>
      </c>
      <c r="E332" s="49"/>
      <c r="F332" s="49" t="s">
        <v>297</v>
      </c>
      <c r="G332" s="49"/>
      <c r="H332" s="49"/>
      <c r="I332" s="49" t="s">
        <v>75</v>
      </c>
      <c r="J332" s="55" t="s">
        <v>629</v>
      </c>
      <c r="K332" s="51">
        <v>71318.634999999995</v>
      </c>
      <c r="L332" s="51">
        <v>64600</v>
      </c>
      <c r="M332" s="51">
        <v>41000</v>
      </c>
      <c r="N332" s="99">
        <v>12000</v>
      </c>
      <c r="O332" s="51">
        <v>29000</v>
      </c>
      <c r="P332" s="51">
        <f t="shared" si="147"/>
        <v>11866</v>
      </c>
      <c r="Q332" s="113">
        <v>11866</v>
      </c>
      <c r="R332" s="51"/>
      <c r="S332" s="51"/>
      <c r="T332" s="51"/>
      <c r="U332" s="51"/>
      <c r="V332" s="51"/>
    </row>
    <row r="333" spans="1:22" ht="78.75" x14ac:dyDescent="0.2">
      <c r="A333" s="47">
        <v>9</v>
      </c>
      <c r="B333" s="111" t="s">
        <v>701</v>
      </c>
      <c r="C333" s="47">
        <v>1</v>
      </c>
      <c r="D333" s="49" t="s">
        <v>71</v>
      </c>
      <c r="E333" s="49"/>
      <c r="F333" s="49" t="s">
        <v>630</v>
      </c>
      <c r="G333" s="49"/>
      <c r="H333" s="49"/>
      <c r="I333" s="49" t="s">
        <v>80</v>
      </c>
      <c r="J333" s="55" t="s">
        <v>634</v>
      </c>
      <c r="K333" s="51">
        <v>190648.04500000001</v>
      </c>
      <c r="L333" s="51">
        <v>172000</v>
      </c>
      <c r="M333" s="51">
        <v>58000</v>
      </c>
      <c r="N333" s="99">
        <v>10000</v>
      </c>
      <c r="O333" s="51">
        <v>38000</v>
      </c>
      <c r="P333" s="51">
        <f t="shared" si="147"/>
        <v>10000</v>
      </c>
      <c r="Q333" s="51">
        <v>10000</v>
      </c>
      <c r="R333" s="51"/>
      <c r="S333" s="51"/>
      <c r="T333" s="51"/>
      <c r="U333" s="51"/>
      <c r="V333" s="51"/>
    </row>
    <row r="334" spans="1:22" ht="47.25" x14ac:dyDescent="0.2">
      <c r="A334" s="47">
        <v>10</v>
      </c>
      <c r="B334" s="111" t="s">
        <v>635</v>
      </c>
      <c r="C334" s="47">
        <v>1</v>
      </c>
      <c r="D334" s="49" t="s">
        <v>123</v>
      </c>
      <c r="E334" s="49"/>
      <c r="F334" s="49" t="s">
        <v>507</v>
      </c>
      <c r="G334" s="49"/>
      <c r="H334" s="49"/>
      <c r="I334" s="49" t="s">
        <v>80</v>
      </c>
      <c r="J334" s="55" t="s">
        <v>636</v>
      </c>
      <c r="K334" s="51">
        <v>182903.72899999999</v>
      </c>
      <c r="L334" s="51">
        <v>117000</v>
      </c>
      <c r="M334" s="51">
        <v>63000</v>
      </c>
      <c r="N334" s="99">
        <v>20000</v>
      </c>
      <c r="O334" s="51">
        <v>43000</v>
      </c>
      <c r="P334" s="51">
        <f t="shared" si="147"/>
        <v>10000</v>
      </c>
      <c r="Q334" s="113">
        <v>10000</v>
      </c>
      <c r="R334" s="51"/>
      <c r="S334" s="51"/>
      <c r="T334" s="51"/>
      <c r="U334" s="51"/>
      <c r="V334" s="51"/>
    </row>
    <row r="335" spans="1:22" ht="47.25" x14ac:dyDescent="0.2">
      <c r="A335" s="47">
        <v>11</v>
      </c>
      <c r="B335" s="111" t="s">
        <v>637</v>
      </c>
      <c r="C335" s="47">
        <v>1</v>
      </c>
      <c r="D335" s="49" t="s">
        <v>84</v>
      </c>
      <c r="E335" s="49"/>
      <c r="F335" s="49" t="s">
        <v>180</v>
      </c>
      <c r="G335" s="49"/>
      <c r="H335" s="49"/>
      <c r="I335" s="49" t="s">
        <v>75</v>
      </c>
      <c r="J335" s="55" t="s">
        <v>638</v>
      </c>
      <c r="K335" s="51">
        <v>14302.601000000001</v>
      </c>
      <c r="L335" s="51">
        <v>14900</v>
      </c>
      <c r="M335" s="51">
        <v>14000</v>
      </c>
      <c r="N335" s="99">
        <v>10000</v>
      </c>
      <c r="O335" s="115">
        <v>4000</v>
      </c>
      <c r="P335" s="51">
        <f t="shared" si="147"/>
        <v>2800</v>
      </c>
      <c r="Q335" s="115">
        <v>2800</v>
      </c>
      <c r="R335" s="51"/>
      <c r="S335" s="51"/>
      <c r="T335" s="51"/>
      <c r="U335" s="51"/>
      <c r="V335" s="51"/>
    </row>
    <row r="336" spans="1:22" ht="47.25" x14ac:dyDescent="0.2">
      <c r="A336" s="47">
        <v>12</v>
      </c>
      <c r="B336" s="111" t="s">
        <v>639</v>
      </c>
      <c r="C336" s="47">
        <v>1</v>
      </c>
      <c r="D336" s="49" t="s">
        <v>89</v>
      </c>
      <c r="E336" s="49"/>
      <c r="F336" s="49" t="s">
        <v>297</v>
      </c>
      <c r="G336" s="49"/>
      <c r="H336" s="49"/>
      <c r="I336" s="49" t="s">
        <v>75</v>
      </c>
      <c r="J336" s="55" t="s">
        <v>245</v>
      </c>
      <c r="K336" s="51">
        <v>75837.816999999995</v>
      </c>
      <c r="L336" s="51">
        <v>68200</v>
      </c>
      <c r="M336" s="51">
        <v>10000</v>
      </c>
      <c r="N336" s="99">
        <v>1900</v>
      </c>
      <c r="O336" s="92">
        <v>7000</v>
      </c>
      <c r="P336" s="51">
        <f t="shared" si="147"/>
        <v>8100</v>
      </c>
      <c r="Q336" s="92">
        <v>8100</v>
      </c>
      <c r="R336" s="51"/>
      <c r="S336" s="51"/>
      <c r="T336" s="51"/>
      <c r="U336" s="51"/>
      <c r="V336" s="51"/>
    </row>
    <row r="337" spans="1:22" ht="47.25" x14ac:dyDescent="0.2">
      <c r="A337" s="47">
        <v>13</v>
      </c>
      <c r="B337" s="111" t="s">
        <v>640</v>
      </c>
      <c r="C337" s="47">
        <v>1</v>
      </c>
      <c r="D337" s="49" t="s">
        <v>94</v>
      </c>
      <c r="E337" s="49"/>
      <c r="F337" s="49" t="s">
        <v>237</v>
      </c>
      <c r="G337" s="49"/>
      <c r="H337" s="49"/>
      <c r="I337" s="49" t="s">
        <v>74</v>
      </c>
      <c r="J337" s="55" t="s">
        <v>641</v>
      </c>
      <c r="K337" s="51">
        <v>230022.10500000001</v>
      </c>
      <c r="L337" s="51">
        <v>207000</v>
      </c>
      <c r="M337" s="51">
        <v>100000</v>
      </c>
      <c r="N337" s="99">
        <v>33015</v>
      </c>
      <c r="O337" s="92">
        <v>25000</v>
      </c>
      <c r="P337" s="51">
        <f t="shared" si="147"/>
        <v>33000</v>
      </c>
      <c r="Q337" s="92">
        <v>33000</v>
      </c>
      <c r="R337" s="51"/>
      <c r="S337" s="51"/>
      <c r="T337" s="51"/>
      <c r="U337" s="51"/>
      <c r="V337" s="51"/>
    </row>
    <row r="338" spans="1:22" ht="63" x14ac:dyDescent="0.2">
      <c r="A338" s="47">
        <v>14</v>
      </c>
      <c r="B338" s="48" t="s">
        <v>642</v>
      </c>
      <c r="C338" s="47">
        <v>1</v>
      </c>
      <c r="D338" s="49" t="s">
        <v>100</v>
      </c>
      <c r="E338" s="49"/>
      <c r="F338" s="49" t="s">
        <v>541</v>
      </c>
      <c r="G338" s="49"/>
      <c r="H338" s="49"/>
      <c r="I338" s="49" t="s">
        <v>75</v>
      </c>
      <c r="J338" s="55" t="s">
        <v>643</v>
      </c>
      <c r="K338" s="51">
        <v>138232.33600000001</v>
      </c>
      <c r="L338" s="51">
        <v>124400</v>
      </c>
      <c r="M338" s="51">
        <v>100000</v>
      </c>
      <c r="N338" s="99">
        <v>40000</v>
      </c>
      <c r="O338" s="92">
        <v>70000</v>
      </c>
      <c r="P338" s="51">
        <f t="shared" si="147"/>
        <v>25000</v>
      </c>
      <c r="Q338" s="92">
        <v>25000</v>
      </c>
      <c r="R338" s="51"/>
      <c r="S338" s="51"/>
      <c r="T338" s="51"/>
      <c r="U338" s="51"/>
      <c r="V338" s="51"/>
    </row>
    <row r="339" spans="1:22" x14ac:dyDescent="0.2">
      <c r="A339" s="78" t="s">
        <v>702</v>
      </c>
      <c r="B339" s="93" t="s">
        <v>474</v>
      </c>
      <c r="C339" s="78">
        <f>C340+C348</f>
        <v>11</v>
      </c>
      <c r="D339" s="80">
        <v>0</v>
      </c>
      <c r="E339" s="80"/>
      <c r="F339" s="49"/>
      <c r="G339" s="49"/>
      <c r="H339" s="49"/>
      <c r="I339" s="49"/>
      <c r="J339" s="49"/>
      <c r="K339" s="82">
        <f>K340+K348</f>
        <v>1996167.5349999999</v>
      </c>
      <c r="L339" s="82">
        <f>L340+L348</f>
        <v>1130600</v>
      </c>
      <c r="M339" s="82">
        <f>M340+M348</f>
        <v>869000</v>
      </c>
      <c r="N339" s="82">
        <f>N340+N348</f>
        <v>4578</v>
      </c>
      <c r="O339" s="82">
        <f>O340+O348</f>
        <v>212146</v>
      </c>
      <c r="P339" s="51">
        <f t="shared" si="147"/>
        <v>543198</v>
      </c>
      <c r="Q339" s="82">
        <f>Q340+Q348</f>
        <v>20000</v>
      </c>
      <c r="R339" s="82">
        <f>R340+R348</f>
        <v>201033</v>
      </c>
      <c r="S339" s="82">
        <f>S340+S348</f>
        <v>0</v>
      </c>
      <c r="T339" s="82">
        <f>T340+T348</f>
        <v>0</v>
      </c>
      <c r="U339" s="82">
        <f>U340+U348</f>
        <v>322165</v>
      </c>
      <c r="V339" s="51"/>
    </row>
    <row r="340" spans="1:22" s="97" customFormat="1" ht="47.25" x14ac:dyDescent="0.2">
      <c r="A340" s="78"/>
      <c r="B340" s="98" t="s">
        <v>607</v>
      </c>
      <c r="C340" s="78">
        <f>SUM(C341:C346)</f>
        <v>4</v>
      </c>
      <c r="D340" s="80" t="s">
        <v>299</v>
      </c>
      <c r="E340" s="80"/>
      <c r="F340" s="80"/>
      <c r="G340" s="80"/>
      <c r="H340" s="80"/>
      <c r="I340" s="80"/>
      <c r="J340" s="80"/>
      <c r="K340" s="82">
        <f>SUM(K341:K346)</f>
        <v>1510717.118</v>
      </c>
      <c r="L340" s="82">
        <f t="shared" ref="L340:U340" si="148">SUM(L341:L346)</f>
        <v>630100</v>
      </c>
      <c r="M340" s="82">
        <f t="shared" si="148"/>
        <v>627000</v>
      </c>
      <c r="N340" s="82">
        <f t="shared" si="148"/>
        <v>1278</v>
      </c>
      <c r="O340" s="82">
        <f t="shared" si="148"/>
        <v>56946</v>
      </c>
      <c r="P340" s="77">
        <f t="shared" si="147"/>
        <v>402998</v>
      </c>
      <c r="Q340" s="82">
        <f t="shared" si="148"/>
        <v>0</v>
      </c>
      <c r="R340" s="82">
        <f t="shared" si="148"/>
        <v>80833</v>
      </c>
      <c r="S340" s="82">
        <f t="shared" si="148"/>
        <v>0</v>
      </c>
      <c r="T340" s="82">
        <f t="shared" si="148"/>
        <v>0</v>
      </c>
      <c r="U340" s="82">
        <f t="shared" si="148"/>
        <v>322165</v>
      </c>
      <c r="V340" s="96"/>
    </row>
    <row r="341" spans="1:22" ht="94.5" x14ac:dyDescent="0.2">
      <c r="A341" s="47">
        <v>1</v>
      </c>
      <c r="B341" s="111" t="s">
        <v>645</v>
      </c>
      <c r="C341" s="47">
        <v>1</v>
      </c>
      <c r="D341" s="49" t="s">
        <v>192</v>
      </c>
      <c r="E341" s="49"/>
      <c r="F341" s="112" t="s">
        <v>517</v>
      </c>
      <c r="G341" s="112"/>
      <c r="H341" s="112"/>
      <c r="I341" s="112" t="s">
        <v>103</v>
      </c>
      <c r="J341" s="55" t="s">
        <v>987</v>
      </c>
      <c r="K341" s="51">
        <v>225670.99100000001</v>
      </c>
      <c r="L341" s="51">
        <v>203100</v>
      </c>
      <c r="M341" s="51">
        <v>150000</v>
      </c>
      <c r="N341" s="99">
        <v>1278</v>
      </c>
      <c r="O341" s="92">
        <v>56946</v>
      </c>
      <c r="P341" s="51">
        <f t="shared" si="147"/>
        <v>148722</v>
      </c>
      <c r="Q341" s="92"/>
      <c r="R341" s="51">
        <v>80833</v>
      </c>
      <c r="S341" s="51"/>
      <c r="T341" s="51"/>
      <c r="U341" s="51">
        <v>67889</v>
      </c>
      <c r="V341" s="51"/>
    </row>
    <row r="342" spans="1:22" ht="63" x14ac:dyDescent="0.2">
      <c r="A342" s="47">
        <v>2</v>
      </c>
      <c r="B342" s="111" t="s">
        <v>644</v>
      </c>
      <c r="C342" s="47">
        <v>1</v>
      </c>
      <c r="D342" s="49" t="s">
        <v>73</v>
      </c>
      <c r="E342" s="49"/>
      <c r="F342" s="112" t="s">
        <v>609</v>
      </c>
      <c r="G342" s="112"/>
      <c r="H342" s="112"/>
      <c r="I342" s="112" t="s">
        <v>103</v>
      </c>
      <c r="J342" s="55" t="s">
        <v>986</v>
      </c>
      <c r="K342" s="58">
        <v>217507.614</v>
      </c>
      <c r="L342" s="51">
        <v>217000</v>
      </c>
      <c r="M342" s="51">
        <v>217000</v>
      </c>
      <c r="N342" s="99">
        <v>0</v>
      </c>
      <c r="O342" s="92"/>
      <c r="P342" s="51">
        <f t="shared" si="147"/>
        <v>154276</v>
      </c>
      <c r="Q342" s="92"/>
      <c r="R342" s="51"/>
      <c r="S342" s="51"/>
      <c r="T342" s="51"/>
      <c r="U342" s="51">
        <v>154276</v>
      </c>
      <c r="V342" s="51"/>
    </row>
    <row r="343" spans="1:22" hidden="1" x14ac:dyDescent="0.2">
      <c r="A343" s="47"/>
      <c r="B343" s="111"/>
      <c r="C343" s="47"/>
      <c r="D343" s="49"/>
      <c r="E343" s="49"/>
      <c r="F343" s="112"/>
      <c r="G343" s="112"/>
      <c r="H343" s="112"/>
      <c r="I343" s="112"/>
      <c r="J343" s="163"/>
      <c r="K343" s="58"/>
      <c r="L343" s="51"/>
      <c r="M343" s="51"/>
      <c r="N343" s="99"/>
      <c r="O343" s="92"/>
      <c r="P343" s="51"/>
      <c r="Q343" s="92"/>
      <c r="R343" s="51"/>
      <c r="S343" s="51"/>
      <c r="T343" s="51"/>
      <c r="U343" s="51"/>
      <c r="V343" s="51"/>
    </row>
    <row r="344" spans="1:22" hidden="1" x14ac:dyDescent="0.2">
      <c r="A344" s="85"/>
      <c r="B344" s="111"/>
      <c r="C344" s="47"/>
      <c r="D344" s="49"/>
      <c r="E344" s="49"/>
      <c r="F344" s="112"/>
      <c r="G344" s="112"/>
      <c r="H344" s="112"/>
      <c r="I344" s="112"/>
      <c r="J344" s="116"/>
      <c r="K344" s="51"/>
      <c r="L344" s="51"/>
      <c r="M344" s="51"/>
      <c r="N344" s="99"/>
      <c r="O344" s="92"/>
      <c r="P344" s="51">
        <f t="shared" si="147"/>
        <v>0</v>
      </c>
      <c r="Q344" s="92"/>
      <c r="R344" s="51"/>
      <c r="S344" s="51"/>
      <c r="T344" s="51"/>
      <c r="U344" s="51"/>
      <c r="V344" s="51"/>
    </row>
    <row r="345" spans="1:22" ht="47.25" x14ac:dyDescent="0.2">
      <c r="A345" s="47">
        <v>3</v>
      </c>
      <c r="B345" s="111" t="s">
        <v>646</v>
      </c>
      <c r="C345" s="47">
        <v>1</v>
      </c>
      <c r="D345" s="49" t="s">
        <v>93</v>
      </c>
      <c r="E345" s="49"/>
      <c r="F345" s="112" t="s">
        <v>612</v>
      </c>
      <c r="G345" s="112"/>
      <c r="H345" s="112"/>
      <c r="I345" s="112" t="s">
        <v>647</v>
      </c>
      <c r="J345" s="163" t="s">
        <v>984</v>
      </c>
      <c r="K345" s="58">
        <v>846370.63199999998</v>
      </c>
      <c r="L345" s="51">
        <v>210000</v>
      </c>
      <c r="M345" s="51">
        <v>210000</v>
      </c>
      <c r="N345" s="99">
        <v>0</v>
      </c>
      <c r="O345" s="92">
        <v>0</v>
      </c>
      <c r="P345" s="51">
        <f t="shared" si="147"/>
        <v>50000</v>
      </c>
      <c r="Q345" s="92"/>
      <c r="R345" s="51"/>
      <c r="S345" s="51"/>
      <c r="T345" s="51"/>
      <c r="U345" s="51">
        <v>50000</v>
      </c>
      <c r="V345" s="51"/>
    </row>
    <row r="346" spans="1:22" ht="47.25" x14ac:dyDescent="0.2">
      <c r="A346" s="47">
        <v>4</v>
      </c>
      <c r="B346" s="111" t="s">
        <v>648</v>
      </c>
      <c r="C346" s="47">
        <v>1</v>
      </c>
      <c r="D346" s="49" t="s">
        <v>93</v>
      </c>
      <c r="E346" s="49"/>
      <c r="F346" s="112" t="s">
        <v>612</v>
      </c>
      <c r="G346" s="112"/>
      <c r="H346" s="112"/>
      <c r="I346" s="112" t="s">
        <v>103</v>
      </c>
      <c r="J346" s="163" t="s">
        <v>985</v>
      </c>
      <c r="K346" s="58">
        <v>221167.88099999999</v>
      </c>
      <c r="L346" s="51"/>
      <c r="M346" s="51">
        <v>50000</v>
      </c>
      <c r="N346" s="99">
        <v>0</v>
      </c>
      <c r="O346" s="92">
        <v>0</v>
      </c>
      <c r="P346" s="51">
        <f t="shared" si="147"/>
        <v>50000</v>
      </c>
      <c r="Q346" s="92"/>
      <c r="R346" s="51"/>
      <c r="S346" s="51"/>
      <c r="T346" s="51"/>
      <c r="U346" s="51">
        <v>50000</v>
      </c>
      <c r="V346" s="51"/>
    </row>
    <row r="347" spans="1:22" hidden="1" x14ac:dyDescent="0.2">
      <c r="A347" s="47"/>
      <c r="B347" s="111"/>
      <c r="C347" s="47"/>
      <c r="D347" s="49"/>
      <c r="E347" s="49"/>
      <c r="F347" s="112"/>
      <c r="G347" s="112"/>
      <c r="H347" s="112"/>
      <c r="I347" s="112"/>
      <c r="J347" s="105"/>
      <c r="K347" s="58"/>
      <c r="L347" s="51"/>
      <c r="M347" s="51"/>
      <c r="N347" s="99"/>
      <c r="O347" s="92"/>
      <c r="P347" s="51">
        <f t="shared" si="147"/>
        <v>0</v>
      </c>
      <c r="Q347" s="92"/>
      <c r="R347" s="51"/>
      <c r="S347" s="51"/>
      <c r="T347" s="51"/>
      <c r="U347" s="51"/>
      <c r="V347" s="51"/>
    </row>
    <row r="348" spans="1:22" s="97" customFormat="1" ht="47.25" x14ac:dyDescent="0.2">
      <c r="A348" s="78"/>
      <c r="B348" s="98" t="s">
        <v>618</v>
      </c>
      <c r="C348" s="78">
        <f>SUM(C349:C355)</f>
        <v>7</v>
      </c>
      <c r="D348" s="80" t="s">
        <v>299</v>
      </c>
      <c r="E348" s="80"/>
      <c r="F348" s="80" t="s">
        <v>556</v>
      </c>
      <c r="G348" s="80"/>
      <c r="H348" s="80"/>
      <c r="I348" s="80" t="s">
        <v>90</v>
      </c>
      <c r="J348" s="80"/>
      <c r="K348" s="94">
        <f t="shared" ref="K348:U348" si="149">SUM(K349:K355)</f>
        <v>485450.41699999996</v>
      </c>
      <c r="L348" s="94">
        <f t="shared" si="149"/>
        <v>500500</v>
      </c>
      <c r="M348" s="94">
        <f t="shared" si="149"/>
        <v>242000</v>
      </c>
      <c r="N348" s="94">
        <f t="shared" si="149"/>
        <v>3300</v>
      </c>
      <c r="O348" s="94">
        <f t="shared" si="149"/>
        <v>155200</v>
      </c>
      <c r="P348" s="94">
        <f t="shared" si="149"/>
        <v>140200</v>
      </c>
      <c r="Q348" s="94">
        <f t="shared" si="149"/>
        <v>20000</v>
      </c>
      <c r="R348" s="94">
        <f t="shared" si="149"/>
        <v>120200</v>
      </c>
      <c r="S348" s="94">
        <f t="shared" si="149"/>
        <v>0</v>
      </c>
      <c r="T348" s="94">
        <f t="shared" si="149"/>
        <v>0</v>
      </c>
      <c r="U348" s="94">
        <f t="shared" si="149"/>
        <v>0</v>
      </c>
      <c r="V348" s="96"/>
    </row>
    <row r="349" spans="1:22" ht="63" x14ac:dyDescent="0.2">
      <c r="A349" s="47">
        <v>5</v>
      </c>
      <c r="B349" s="52" t="s">
        <v>649</v>
      </c>
      <c r="C349" s="47">
        <v>1</v>
      </c>
      <c r="D349" s="49" t="s">
        <v>73</v>
      </c>
      <c r="E349" s="49"/>
      <c r="F349" s="49" t="s">
        <v>609</v>
      </c>
      <c r="G349" s="49"/>
      <c r="H349" s="49"/>
      <c r="I349" s="49" t="s">
        <v>80</v>
      </c>
      <c r="J349" s="55" t="s">
        <v>650</v>
      </c>
      <c r="K349" s="51">
        <v>195705.47899999999</v>
      </c>
      <c r="L349" s="51">
        <v>195000</v>
      </c>
      <c r="M349" s="51">
        <v>100000</v>
      </c>
      <c r="N349" s="99">
        <v>2000</v>
      </c>
      <c r="O349" s="51">
        <v>98000</v>
      </c>
      <c r="P349" s="51">
        <f t="shared" si="147"/>
        <v>98000</v>
      </c>
      <c r="Q349" s="51"/>
      <c r="R349" s="51">
        <v>98000</v>
      </c>
      <c r="S349" s="51"/>
      <c r="T349" s="51"/>
      <c r="U349" s="51"/>
      <c r="V349" s="51"/>
    </row>
    <row r="350" spans="1:22" ht="47.25" x14ac:dyDescent="0.2">
      <c r="A350" s="47">
        <v>6</v>
      </c>
      <c r="B350" s="52" t="s">
        <v>651</v>
      </c>
      <c r="C350" s="47">
        <v>1</v>
      </c>
      <c r="D350" s="49" t="s">
        <v>93</v>
      </c>
      <c r="E350" s="49"/>
      <c r="F350" s="49" t="s">
        <v>612</v>
      </c>
      <c r="G350" s="49"/>
      <c r="H350" s="49"/>
      <c r="I350" s="49" t="s">
        <v>103</v>
      </c>
      <c r="J350" s="55" t="s">
        <v>652</v>
      </c>
      <c r="K350" s="51">
        <v>83049.16</v>
      </c>
      <c r="L350" s="51">
        <v>75000</v>
      </c>
      <c r="M350" s="51">
        <v>23000</v>
      </c>
      <c r="N350" s="99">
        <v>800</v>
      </c>
      <c r="O350" s="51">
        <v>22200</v>
      </c>
      <c r="P350" s="51">
        <f t="shared" si="147"/>
        <v>22200</v>
      </c>
      <c r="Q350" s="51"/>
      <c r="R350" s="51">
        <v>22200</v>
      </c>
      <c r="S350" s="51"/>
      <c r="T350" s="51"/>
      <c r="U350" s="51"/>
      <c r="V350" s="51"/>
    </row>
    <row r="351" spans="1:22" ht="47.25" x14ac:dyDescent="0.2">
      <c r="A351" s="47">
        <v>7</v>
      </c>
      <c r="B351" s="111" t="s">
        <v>655</v>
      </c>
      <c r="C351" s="47">
        <v>1</v>
      </c>
      <c r="D351" s="49" t="s">
        <v>82</v>
      </c>
      <c r="E351" s="49"/>
      <c r="F351" s="49" t="s">
        <v>558</v>
      </c>
      <c r="G351" s="49"/>
      <c r="H351" s="49"/>
      <c r="I351" s="49" t="s">
        <v>103</v>
      </c>
      <c r="J351" s="55" t="s">
        <v>656</v>
      </c>
      <c r="K351" s="51">
        <v>39000</v>
      </c>
      <c r="L351" s="51">
        <v>35100</v>
      </c>
      <c r="M351" s="51">
        <v>30000</v>
      </c>
      <c r="N351" s="99">
        <v>0</v>
      </c>
      <c r="O351" s="51">
        <v>5000</v>
      </c>
      <c r="P351" s="51">
        <f t="shared" si="147"/>
        <v>4000</v>
      </c>
      <c r="Q351" s="51">
        <v>4000</v>
      </c>
      <c r="R351" s="51"/>
      <c r="S351" s="51"/>
      <c r="T351" s="51"/>
      <c r="U351" s="51"/>
      <c r="V351" s="51"/>
    </row>
    <row r="352" spans="1:22" ht="47.25" x14ac:dyDescent="0.2">
      <c r="A352" s="47">
        <v>8</v>
      </c>
      <c r="B352" s="111" t="s">
        <v>703</v>
      </c>
      <c r="C352" s="47">
        <v>1</v>
      </c>
      <c r="D352" s="49" t="s">
        <v>123</v>
      </c>
      <c r="E352" s="49"/>
      <c r="F352" s="49" t="s">
        <v>507</v>
      </c>
      <c r="G352" s="49"/>
      <c r="H352" s="49"/>
      <c r="I352" s="49" t="s">
        <v>75</v>
      </c>
      <c r="J352" s="55" t="s">
        <v>661</v>
      </c>
      <c r="K352" s="51">
        <v>68854.206000000006</v>
      </c>
      <c r="L352" s="51">
        <v>62000</v>
      </c>
      <c r="M352" s="51">
        <v>34000</v>
      </c>
      <c r="N352" s="99">
        <v>0</v>
      </c>
      <c r="O352" s="51">
        <v>30000</v>
      </c>
      <c r="P352" s="51">
        <f t="shared" si="147"/>
        <v>4000</v>
      </c>
      <c r="Q352" s="51">
        <v>4000</v>
      </c>
      <c r="R352" s="51"/>
      <c r="S352" s="51"/>
      <c r="T352" s="51"/>
      <c r="U352" s="51"/>
      <c r="V352" s="51"/>
    </row>
    <row r="353" spans="1:22" ht="47.25" x14ac:dyDescent="0.2">
      <c r="A353" s="47">
        <v>9</v>
      </c>
      <c r="B353" s="52" t="s">
        <v>653</v>
      </c>
      <c r="C353" s="47">
        <v>1</v>
      </c>
      <c r="D353" s="49" t="s">
        <v>240</v>
      </c>
      <c r="E353" s="49"/>
      <c r="F353" s="49" t="s">
        <v>239</v>
      </c>
      <c r="G353" s="49"/>
      <c r="H353" s="49"/>
      <c r="I353" s="49" t="s">
        <v>75</v>
      </c>
      <c r="J353" s="55" t="s">
        <v>654</v>
      </c>
      <c r="K353" s="58">
        <v>34682.216999999997</v>
      </c>
      <c r="L353" s="51">
        <v>19000</v>
      </c>
      <c r="M353" s="51">
        <v>10000</v>
      </c>
      <c r="N353" s="99">
        <v>500</v>
      </c>
      <c r="O353" s="51">
        <v>0</v>
      </c>
      <c r="P353" s="51">
        <f t="shared" si="147"/>
        <v>4000</v>
      </c>
      <c r="Q353" s="51">
        <v>4000</v>
      </c>
      <c r="R353" s="51"/>
      <c r="S353" s="51"/>
      <c r="T353" s="51"/>
      <c r="U353" s="51"/>
      <c r="V353" s="51"/>
    </row>
    <row r="354" spans="1:22" ht="47.25" x14ac:dyDescent="0.2">
      <c r="A354" s="47">
        <v>10</v>
      </c>
      <c r="B354" s="111" t="s">
        <v>657</v>
      </c>
      <c r="C354" s="47">
        <v>1</v>
      </c>
      <c r="D354" s="49" t="s">
        <v>91</v>
      </c>
      <c r="E354" s="49"/>
      <c r="F354" s="49" t="s">
        <v>589</v>
      </c>
      <c r="G354" s="49"/>
      <c r="H354" s="49"/>
      <c r="I354" s="49" t="s">
        <v>80</v>
      </c>
      <c r="J354" s="55" t="s">
        <v>658</v>
      </c>
      <c r="K354" s="51">
        <v>31517.170999999998</v>
      </c>
      <c r="L354" s="51">
        <v>84400</v>
      </c>
      <c r="M354" s="51">
        <v>25000</v>
      </c>
      <c r="N354" s="99">
        <v>0</v>
      </c>
      <c r="O354" s="51">
        <v>0</v>
      </c>
      <c r="P354" s="51">
        <f t="shared" si="147"/>
        <v>4000</v>
      </c>
      <c r="Q354" s="51">
        <v>4000</v>
      </c>
      <c r="R354" s="51"/>
      <c r="S354" s="51"/>
      <c r="T354" s="51"/>
      <c r="U354" s="51"/>
      <c r="V354" s="51"/>
    </row>
    <row r="355" spans="1:22" ht="47.25" x14ac:dyDescent="0.2">
      <c r="A355" s="47">
        <v>11</v>
      </c>
      <c r="B355" s="48" t="s">
        <v>659</v>
      </c>
      <c r="C355" s="47">
        <v>1</v>
      </c>
      <c r="D355" s="49" t="s">
        <v>91</v>
      </c>
      <c r="E355" s="49"/>
      <c r="F355" s="49" t="s">
        <v>589</v>
      </c>
      <c r="G355" s="49"/>
      <c r="H355" s="49"/>
      <c r="I355" s="49" t="s">
        <v>80</v>
      </c>
      <c r="J355" s="55" t="s">
        <v>660</v>
      </c>
      <c r="K355" s="51">
        <v>32642.184000000001</v>
      </c>
      <c r="L355" s="51">
        <v>30000</v>
      </c>
      <c r="M355" s="51">
        <v>20000</v>
      </c>
      <c r="N355" s="99">
        <v>0</v>
      </c>
      <c r="O355" s="51">
        <v>0</v>
      </c>
      <c r="P355" s="51">
        <f t="shared" si="147"/>
        <v>4000</v>
      </c>
      <c r="Q355" s="51">
        <v>4000</v>
      </c>
      <c r="R355" s="51"/>
      <c r="S355" s="51"/>
      <c r="T355" s="51"/>
      <c r="U355" s="51"/>
      <c r="V355" s="51"/>
    </row>
    <row r="356" spans="1:22" s="83" customFormat="1" hidden="1" x14ac:dyDescent="0.2">
      <c r="A356" s="47"/>
      <c r="B356" s="93"/>
      <c r="C356" s="78"/>
      <c r="D356" s="80"/>
      <c r="E356" s="80"/>
      <c r="F356" s="49"/>
      <c r="G356" s="49"/>
      <c r="H356" s="49"/>
      <c r="I356" s="49"/>
      <c r="J356" s="49"/>
      <c r="K356" s="82"/>
      <c r="L356" s="82"/>
      <c r="M356" s="82"/>
      <c r="N356" s="99"/>
      <c r="O356" s="82"/>
      <c r="P356" s="51">
        <f t="shared" si="147"/>
        <v>0</v>
      </c>
      <c r="Q356" s="82"/>
      <c r="R356" s="82"/>
      <c r="S356" s="82"/>
      <c r="T356" s="82"/>
      <c r="U356" s="82"/>
      <c r="V356" s="82"/>
    </row>
    <row r="357" spans="1:22" hidden="1" x14ac:dyDescent="0.2">
      <c r="A357" s="47"/>
      <c r="B357" s="57"/>
      <c r="C357" s="47"/>
      <c r="D357" s="49"/>
      <c r="E357" s="49"/>
      <c r="F357" s="49"/>
      <c r="G357" s="49"/>
      <c r="H357" s="49"/>
      <c r="I357" s="49"/>
      <c r="J357" s="49"/>
      <c r="K357" s="51"/>
      <c r="L357" s="51"/>
      <c r="M357" s="51"/>
      <c r="N357" s="99"/>
      <c r="O357" s="51"/>
      <c r="P357" s="51">
        <f t="shared" si="147"/>
        <v>0</v>
      </c>
      <c r="Q357" s="51"/>
      <c r="R357" s="51"/>
      <c r="S357" s="51"/>
      <c r="T357" s="51"/>
      <c r="U357" s="51"/>
      <c r="V357" s="51"/>
    </row>
    <row r="358" spans="1:22" ht="73.5" customHeight="1" x14ac:dyDescent="0.2">
      <c r="A358" s="74" t="s">
        <v>527</v>
      </c>
      <c r="B358" s="103" t="s">
        <v>459</v>
      </c>
      <c r="C358" s="74">
        <f>C359</f>
        <v>6</v>
      </c>
      <c r="D358" s="75"/>
      <c r="E358" s="75"/>
      <c r="F358" s="75"/>
      <c r="G358" s="75"/>
      <c r="H358" s="75"/>
      <c r="I358" s="75"/>
      <c r="J358" s="75"/>
      <c r="K358" s="77">
        <f>K359</f>
        <v>65602.635999999999</v>
      </c>
      <c r="L358" s="77">
        <f t="shared" ref="L358:U358" si="150">L359</f>
        <v>63270</v>
      </c>
      <c r="M358" s="77">
        <f t="shared" si="150"/>
        <v>27300</v>
      </c>
      <c r="N358" s="77">
        <f t="shared" si="150"/>
        <v>3500</v>
      </c>
      <c r="O358" s="77">
        <f t="shared" si="150"/>
        <v>21500</v>
      </c>
      <c r="P358" s="77">
        <f t="shared" si="150"/>
        <v>21500</v>
      </c>
      <c r="Q358" s="77">
        <f t="shared" si="150"/>
        <v>21500</v>
      </c>
      <c r="R358" s="77">
        <f t="shared" si="150"/>
        <v>0</v>
      </c>
      <c r="S358" s="77">
        <f t="shared" si="150"/>
        <v>0</v>
      </c>
      <c r="T358" s="77">
        <f t="shared" si="150"/>
        <v>0</v>
      </c>
      <c r="U358" s="77">
        <f t="shared" si="150"/>
        <v>0</v>
      </c>
      <c r="V358" s="51"/>
    </row>
    <row r="359" spans="1:22" ht="78.75" x14ac:dyDescent="0.2">
      <c r="A359" s="78"/>
      <c r="B359" s="79" t="s">
        <v>662</v>
      </c>
      <c r="C359" s="78">
        <f>C360+C363</f>
        <v>6</v>
      </c>
      <c r="D359" s="80" t="s">
        <v>663</v>
      </c>
      <c r="E359" s="80"/>
      <c r="F359" s="80" t="s">
        <v>664</v>
      </c>
      <c r="G359" s="80"/>
      <c r="H359" s="80"/>
      <c r="I359" s="80" t="s">
        <v>90</v>
      </c>
      <c r="J359" s="80"/>
      <c r="K359" s="82">
        <f>K360+K363</f>
        <v>65602.635999999999</v>
      </c>
      <c r="L359" s="82">
        <f t="shared" ref="L359:U359" si="151">L360+L363</f>
        <v>63270</v>
      </c>
      <c r="M359" s="82">
        <f t="shared" si="151"/>
        <v>27300</v>
      </c>
      <c r="N359" s="82">
        <f t="shared" si="151"/>
        <v>3500</v>
      </c>
      <c r="O359" s="82">
        <f t="shared" si="151"/>
        <v>21500</v>
      </c>
      <c r="P359" s="82">
        <f t="shared" si="151"/>
        <v>21500</v>
      </c>
      <c r="Q359" s="82">
        <f t="shared" si="151"/>
        <v>21500</v>
      </c>
      <c r="R359" s="82">
        <f t="shared" si="151"/>
        <v>0</v>
      </c>
      <c r="S359" s="82">
        <f t="shared" si="151"/>
        <v>0</v>
      </c>
      <c r="T359" s="82">
        <f t="shared" si="151"/>
        <v>0</v>
      </c>
      <c r="U359" s="82">
        <f t="shared" si="151"/>
        <v>0</v>
      </c>
      <c r="V359" s="51"/>
    </row>
    <row r="360" spans="1:22" s="64" customFormat="1" x14ac:dyDescent="0.2">
      <c r="A360" s="78" t="s">
        <v>33</v>
      </c>
      <c r="B360" s="93" t="s">
        <v>475</v>
      </c>
      <c r="C360" s="78">
        <f>C361+C362</f>
        <v>2</v>
      </c>
      <c r="D360" s="80">
        <v>0</v>
      </c>
      <c r="E360" s="80"/>
      <c r="F360" s="49"/>
      <c r="G360" s="49"/>
      <c r="H360" s="49"/>
      <c r="I360" s="49"/>
      <c r="J360" s="49"/>
      <c r="K360" s="94">
        <f>K361+K362</f>
        <v>22636.684999999998</v>
      </c>
      <c r="L360" s="94">
        <f t="shared" ref="L360:U360" si="152">L361+L362</f>
        <v>22500</v>
      </c>
      <c r="M360" s="94">
        <f t="shared" si="152"/>
        <v>10000</v>
      </c>
      <c r="N360" s="94">
        <f t="shared" si="152"/>
        <v>3500</v>
      </c>
      <c r="O360" s="94">
        <f t="shared" si="152"/>
        <v>6500</v>
      </c>
      <c r="P360" s="51">
        <f t="shared" si="147"/>
        <v>6500</v>
      </c>
      <c r="Q360" s="94">
        <f t="shared" si="152"/>
        <v>6500</v>
      </c>
      <c r="R360" s="94">
        <f t="shared" si="152"/>
        <v>0</v>
      </c>
      <c r="S360" s="94">
        <f t="shared" si="152"/>
        <v>0</v>
      </c>
      <c r="T360" s="94">
        <f t="shared" si="152"/>
        <v>0</v>
      </c>
      <c r="U360" s="94">
        <f t="shared" si="152"/>
        <v>0</v>
      </c>
      <c r="V360" s="77"/>
    </row>
    <row r="361" spans="1:22" s="97" customFormat="1" ht="78.75" x14ac:dyDescent="0.2">
      <c r="A361" s="47">
        <v>1</v>
      </c>
      <c r="B361" s="52" t="s">
        <v>665</v>
      </c>
      <c r="C361" s="47">
        <v>1</v>
      </c>
      <c r="D361" s="49" t="s">
        <v>89</v>
      </c>
      <c r="E361" s="49"/>
      <c r="F361" s="49" t="s">
        <v>297</v>
      </c>
      <c r="G361" s="49"/>
      <c r="H361" s="49"/>
      <c r="I361" s="49" t="s">
        <v>80</v>
      </c>
      <c r="J361" s="55" t="s">
        <v>988</v>
      </c>
      <c r="K361" s="51">
        <v>8386</v>
      </c>
      <c r="L361" s="51">
        <v>8300</v>
      </c>
      <c r="M361" s="51">
        <v>5000</v>
      </c>
      <c r="N361" s="99">
        <v>1000</v>
      </c>
      <c r="O361" s="51">
        <v>4000</v>
      </c>
      <c r="P361" s="51">
        <f t="shared" si="147"/>
        <v>4000</v>
      </c>
      <c r="Q361" s="51">
        <v>4000</v>
      </c>
      <c r="R361" s="51"/>
      <c r="S361" s="51"/>
      <c r="T361" s="51"/>
      <c r="U361" s="51"/>
      <c r="V361" s="96"/>
    </row>
    <row r="362" spans="1:22" ht="63" x14ac:dyDescent="0.2">
      <c r="A362" s="47">
        <v>2</v>
      </c>
      <c r="B362" s="52" t="s">
        <v>666</v>
      </c>
      <c r="C362" s="47">
        <v>1</v>
      </c>
      <c r="D362" s="49" t="s">
        <v>100</v>
      </c>
      <c r="E362" s="49"/>
      <c r="F362" s="49" t="s">
        <v>541</v>
      </c>
      <c r="G362" s="49"/>
      <c r="H362" s="49"/>
      <c r="I362" s="49" t="s">
        <v>75</v>
      </c>
      <c r="J362" s="55" t="s">
        <v>243</v>
      </c>
      <c r="K362" s="51">
        <v>14250.684999999999</v>
      </c>
      <c r="L362" s="51">
        <v>14200</v>
      </c>
      <c r="M362" s="51">
        <v>5000</v>
      </c>
      <c r="N362" s="99">
        <v>2500</v>
      </c>
      <c r="O362" s="51">
        <v>2500</v>
      </c>
      <c r="P362" s="51">
        <f t="shared" si="147"/>
        <v>2500</v>
      </c>
      <c r="Q362" s="51">
        <v>2500</v>
      </c>
      <c r="R362" s="51"/>
      <c r="S362" s="51"/>
      <c r="T362" s="51"/>
      <c r="U362" s="51"/>
      <c r="V362" s="51"/>
    </row>
    <row r="363" spans="1:22" x14ac:dyDescent="0.2">
      <c r="A363" s="78" t="s">
        <v>34</v>
      </c>
      <c r="B363" s="93" t="s">
        <v>474</v>
      </c>
      <c r="C363" s="78">
        <f>SUM(C364:C367)</f>
        <v>4</v>
      </c>
      <c r="D363" s="49"/>
      <c r="E363" s="49"/>
      <c r="F363" s="49"/>
      <c r="G363" s="49"/>
      <c r="H363" s="49"/>
      <c r="I363" s="49"/>
      <c r="J363" s="55"/>
      <c r="K363" s="94">
        <f t="shared" ref="K363:U363" si="153">SUM(K364:K367)</f>
        <v>42965.951000000001</v>
      </c>
      <c r="L363" s="94">
        <f t="shared" si="153"/>
        <v>40770</v>
      </c>
      <c r="M363" s="94">
        <f t="shared" si="153"/>
        <v>17300</v>
      </c>
      <c r="N363" s="94">
        <f t="shared" si="153"/>
        <v>0</v>
      </c>
      <c r="O363" s="94">
        <f t="shared" si="153"/>
        <v>15000</v>
      </c>
      <c r="P363" s="94">
        <f t="shared" si="153"/>
        <v>15000</v>
      </c>
      <c r="Q363" s="94">
        <f t="shared" si="153"/>
        <v>15000</v>
      </c>
      <c r="R363" s="94">
        <f t="shared" si="153"/>
        <v>0</v>
      </c>
      <c r="S363" s="94">
        <f t="shared" si="153"/>
        <v>0</v>
      </c>
      <c r="T363" s="94">
        <f t="shared" si="153"/>
        <v>0</v>
      </c>
      <c r="U363" s="94">
        <f t="shared" si="153"/>
        <v>0</v>
      </c>
      <c r="V363" s="51"/>
    </row>
    <row r="364" spans="1:22" ht="47.25" x14ac:dyDescent="0.2">
      <c r="A364" s="47">
        <v>1</v>
      </c>
      <c r="B364" s="52" t="s">
        <v>667</v>
      </c>
      <c r="C364" s="47">
        <v>1</v>
      </c>
      <c r="D364" s="49" t="s">
        <v>82</v>
      </c>
      <c r="E364" s="49"/>
      <c r="F364" s="49" t="s">
        <v>558</v>
      </c>
      <c r="G364" s="49"/>
      <c r="H364" s="49"/>
      <c r="I364" s="49" t="s">
        <v>537</v>
      </c>
      <c r="J364" s="49" t="s">
        <v>704</v>
      </c>
      <c r="K364" s="51">
        <v>2635.364</v>
      </c>
      <c r="L364" s="51">
        <v>2600</v>
      </c>
      <c r="M364" s="51">
        <v>2300</v>
      </c>
      <c r="N364" s="99">
        <v>0</v>
      </c>
      <c r="O364" s="51">
        <v>0</v>
      </c>
      <c r="P364" s="51">
        <f t="shared" si="147"/>
        <v>1000</v>
      </c>
      <c r="Q364" s="51">
        <v>1000</v>
      </c>
      <c r="R364" s="51"/>
      <c r="S364" s="51"/>
      <c r="T364" s="51"/>
      <c r="U364" s="51"/>
      <c r="V364" s="51"/>
    </row>
    <row r="365" spans="1:22" ht="47.25" x14ac:dyDescent="0.2">
      <c r="A365" s="47">
        <v>2</v>
      </c>
      <c r="B365" s="52" t="s">
        <v>668</v>
      </c>
      <c r="C365" s="47">
        <v>1</v>
      </c>
      <c r="D365" s="49" t="s">
        <v>71</v>
      </c>
      <c r="E365" s="49"/>
      <c r="F365" s="49" t="s">
        <v>630</v>
      </c>
      <c r="G365" s="49"/>
      <c r="H365" s="49"/>
      <c r="I365" s="49" t="s">
        <v>537</v>
      </c>
      <c r="J365" s="55" t="s">
        <v>669</v>
      </c>
      <c r="K365" s="51">
        <v>9632.8809999999994</v>
      </c>
      <c r="L365" s="51">
        <v>9500</v>
      </c>
      <c r="M365" s="51">
        <v>5000</v>
      </c>
      <c r="N365" s="99">
        <v>0</v>
      </c>
      <c r="O365" s="51">
        <v>5000</v>
      </c>
      <c r="P365" s="51">
        <f t="shared" si="147"/>
        <v>5000</v>
      </c>
      <c r="Q365" s="51">
        <v>5000</v>
      </c>
      <c r="R365" s="51"/>
      <c r="S365" s="51"/>
      <c r="T365" s="51"/>
      <c r="U365" s="51"/>
      <c r="V365" s="51"/>
    </row>
    <row r="366" spans="1:22" ht="55.5" customHeight="1" x14ac:dyDescent="0.2">
      <c r="A366" s="47">
        <v>3</v>
      </c>
      <c r="B366" s="48" t="s">
        <v>670</v>
      </c>
      <c r="C366" s="47">
        <v>1</v>
      </c>
      <c r="D366" s="49" t="s">
        <v>71</v>
      </c>
      <c r="E366" s="49"/>
      <c r="F366" s="49" t="s">
        <v>630</v>
      </c>
      <c r="G366" s="49"/>
      <c r="H366" s="49"/>
      <c r="I366" s="49" t="s">
        <v>537</v>
      </c>
      <c r="J366" s="55" t="s">
        <v>671</v>
      </c>
      <c r="K366" s="51">
        <v>9204.5069999999996</v>
      </c>
      <c r="L366" s="51">
        <v>9370</v>
      </c>
      <c r="M366" s="51">
        <v>5000</v>
      </c>
      <c r="N366" s="99">
        <v>0</v>
      </c>
      <c r="O366" s="51">
        <v>5000</v>
      </c>
      <c r="P366" s="51">
        <f t="shared" si="147"/>
        <v>5000</v>
      </c>
      <c r="Q366" s="51">
        <v>5000</v>
      </c>
      <c r="R366" s="51"/>
      <c r="S366" s="51"/>
      <c r="T366" s="51"/>
      <c r="U366" s="51"/>
      <c r="V366" s="51"/>
    </row>
    <row r="367" spans="1:22" ht="47.25" x14ac:dyDescent="0.2">
      <c r="A367" s="47">
        <v>4</v>
      </c>
      <c r="B367" s="52" t="s">
        <v>672</v>
      </c>
      <c r="C367" s="47">
        <v>1</v>
      </c>
      <c r="D367" s="49" t="s">
        <v>94</v>
      </c>
      <c r="E367" s="49"/>
      <c r="F367" s="49" t="s">
        <v>237</v>
      </c>
      <c r="G367" s="49"/>
      <c r="H367" s="49"/>
      <c r="I367" s="49" t="s">
        <v>75</v>
      </c>
      <c r="J367" s="55" t="s">
        <v>673</v>
      </c>
      <c r="K367" s="51">
        <v>21493.199000000001</v>
      </c>
      <c r="L367" s="51">
        <v>19300</v>
      </c>
      <c r="M367" s="51">
        <v>5000</v>
      </c>
      <c r="N367" s="99">
        <v>0</v>
      </c>
      <c r="O367" s="51">
        <v>5000</v>
      </c>
      <c r="P367" s="51">
        <f t="shared" si="147"/>
        <v>4000</v>
      </c>
      <c r="Q367" s="51">
        <v>4000</v>
      </c>
      <c r="R367" s="51"/>
      <c r="S367" s="51"/>
      <c r="T367" s="51"/>
      <c r="U367" s="51"/>
      <c r="V367" s="51"/>
    </row>
    <row r="368" spans="1:22" x14ac:dyDescent="0.2">
      <c r="A368" s="74" t="s">
        <v>519</v>
      </c>
      <c r="B368" s="53" t="s">
        <v>66</v>
      </c>
      <c r="C368" s="74">
        <f>C369</f>
        <v>1</v>
      </c>
      <c r="D368" s="75"/>
      <c r="E368" s="75"/>
      <c r="F368" s="75"/>
      <c r="G368" s="75"/>
      <c r="H368" s="75"/>
      <c r="I368" s="75"/>
      <c r="J368" s="75"/>
      <c r="K368" s="77">
        <f>K369</f>
        <v>16428.575000000001</v>
      </c>
      <c r="L368" s="77">
        <f t="shared" ref="L368:U369" si="154">L369</f>
        <v>15700</v>
      </c>
      <c r="M368" s="77">
        <f t="shared" si="154"/>
        <v>15700</v>
      </c>
      <c r="N368" s="77">
        <f t="shared" si="154"/>
        <v>6577</v>
      </c>
      <c r="O368" s="77">
        <f t="shared" si="154"/>
        <v>9123</v>
      </c>
      <c r="P368" s="77">
        <f t="shared" si="154"/>
        <v>5659</v>
      </c>
      <c r="Q368" s="77">
        <f t="shared" si="154"/>
        <v>0</v>
      </c>
      <c r="R368" s="77">
        <f t="shared" si="154"/>
        <v>443</v>
      </c>
      <c r="S368" s="77">
        <f t="shared" si="154"/>
        <v>5216</v>
      </c>
      <c r="T368" s="77">
        <f t="shared" si="154"/>
        <v>0</v>
      </c>
      <c r="U368" s="77">
        <f t="shared" si="154"/>
        <v>0</v>
      </c>
      <c r="V368" s="51"/>
    </row>
    <row r="369" spans="1:22" x14ac:dyDescent="0.2">
      <c r="A369" s="74" t="s">
        <v>33</v>
      </c>
      <c r="B369" s="93" t="s">
        <v>475</v>
      </c>
      <c r="C369" s="78">
        <f>C370</f>
        <v>1</v>
      </c>
      <c r="D369" s="80">
        <v>0</v>
      </c>
      <c r="E369" s="80"/>
      <c r="F369" s="75"/>
      <c r="G369" s="75"/>
      <c r="H369" s="75"/>
      <c r="I369" s="75"/>
      <c r="J369" s="75"/>
      <c r="K369" s="82">
        <f>K370</f>
        <v>16428.575000000001</v>
      </c>
      <c r="L369" s="82">
        <f t="shared" si="154"/>
        <v>15700</v>
      </c>
      <c r="M369" s="82">
        <f t="shared" si="154"/>
        <v>15700</v>
      </c>
      <c r="N369" s="82">
        <f t="shared" si="154"/>
        <v>6577</v>
      </c>
      <c r="O369" s="82">
        <f t="shared" si="154"/>
        <v>9123</v>
      </c>
      <c r="P369" s="82">
        <f t="shared" si="154"/>
        <v>5659</v>
      </c>
      <c r="Q369" s="82">
        <f t="shared" si="154"/>
        <v>0</v>
      </c>
      <c r="R369" s="82">
        <f t="shared" si="154"/>
        <v>443</v>
      </c>
      <c r="S369" s="82">
        <f t="shared" si="154"/>
        <v>5216</v>
      </c>
      <c r="T369" s="82">
        <f t="shared" si="154"/>
        <v>0</v>
      </c>
      <c r="U369" s="82">
        <f t="shared" si="154"/>
        <v>0</v>
      </c>
      <c r="V369" s="51"/>
    </row>
    <row r="370" spans="1:22" s="64" customFormat="1" ht="75" customHeight="1" x14ac:dyDescent="0.2">
      <c r="A370" s="47">
        <v>1</v>
      </c>
      <c r="B370" s="52" t="s">
        <v>674</v>
      </c>
      <c r="C370" s="47">
        <v>1</v>
      </c>
      <c r="D370" s="49" t="s">
        <v>79</v>
      </c>
      <c r="E370" s="49"/>
      <c r="F370" s="49" t="s">
        <v>675</v>
      </c>
      <c r="G370" s="49"/>
      <c r="H370" s="49"/>
      <c r="I370" s="49" t="s">
        <v>75</v>
      </c>
      <c r="J370" s="55" t="s">
        <v>676</v>
      </c>
      <c r="K370" s="51">
        <v>16428.575000000001</v>
      </c>
      <c r="L370" s="51">
        <v>15700</v>
      </c>
      <c r="M370" s="51">
        <v>15700</v>
      </c>
      <c r="N370" s="99">
        <v>6577</v>
      </c>
      <c r="O370" s="51">
        <v>9123</v>
      </c>
      <c r="P370" s="51">
        <f t="shared" ref="P370:P371" si="155">SUM(Q370:U370)</f>
        <v>5659</v>
      </c>
      <c r="Q370" s="51"/>
      <c r="R370" s="51">
        <v>443</v>
      </c>
      <c r="S370" s="51">
        <v>5216</v>
      </c>
      <c r="T370" s="51"/>
      <c r="U370" s="51"/>
      <c r="V370" s="77"/>
    </row>
    <row r="371" spans="1:22" s="64" customFormat="1" x14ac:dyDescent="0.2">
      <c r="A371" s="74" t="s">
        <v>13</v>
      </c>
      <c r="B371" s="53" t="s">
        <v>677</v>
      </c>
      <c r="C371" s="74"/>
      <c r="D371" s="75"/>
      <c r="E371" s="75"/>
      <c r="F371" s="75"/>
      <c r="G371" s="75"/>
      <c r="H371" s="75"/>
      <c r="I371" s="75"/>
      <c r="J371" s="117"/>
      <c r="K371" s="77"/>
      <c r="L371" s="77"/>
      <c r="M371" s="77"/>
      <c r="N371" s="99">
        <v>0</v>
      </c>
      <c r="O371" s="77">
        <v>1603000</v>
      </c>
      <c r="P371" s="77">
        <f t="shared" si="155"/>
        <v>1724000</v>
      </c>
      <c r="Q371" s="77">
        <v>581000</v>
      </c>
      <c r="R371" s="77"/>
      <c r="S371" s="77"/>
      <c r="T371" s="77"/>
      <c r="U371" s="77">
        <v>1143000</v>
      </c>
      <c r="V371" s="77"/>
    </row>
    <row r="372" spans="1:22" x14ac:dyDescent="0.2">
      <c r="A372" s="118"/>
      <c r="B372" s="119"/>
      <c r="C372" s="118"/>
      <c r="D372" s="120"/>
      <c r="E372" s="120"/>
      <c r="F372" s="120"/>
      <c r="G372" s="120"/>
      <c r="H372" s="120"/>
      <c r="I372" s="120"/>
      <c r="J372" s="121"/>
      <c r="K372" s="122"/>
      <c r="L372" s="122"/>
      <c r="M372" s="122"/>
      <c r="N372" s="123"/>
      <c r="O372" s="122"/>
      <c r="P372" s="124"/>
      <c r="Q372" s="122"/>
      <c r="R372" s="122"/>
      <c r="S372" s="122"/>
      <c r="T372" s="122"/>
      <c r="U372" s="122"/>
      <c r="V372" s="122"/>
    </row>
    <row r="373" spans="1:22" ht="16.5" customHeight="1" x14ac:dyDescent="0.2"/>
    <row r="374" spans="1:22" ht="18.75" x14ac:dyDescent="0.2">
      <c r="B374" s="3" t="s">
        <v>266</v>
      </c>
    </row>
    <row r="375" spans="1:22" ht="18.75" x14ac:dyDescent="0.2">
      <c r="B375" s="2" t="s">
        <v>267</v>
      </c>
    </row>
    <row r="377" spans="1:22" ht="23.45" customHeight="1" x14ac:dyDescent="0.2"/>
    <row r="378" spans="1:22" ht="33.6" customHeight="1" x14ac:dyDescent="0.2"/>
    <row r="379" spans="1:22" ht="75.95" customHeight="1" x14ac:dyDescent="0.2"/>
    <row r="380" spans="1:22" ht="35.450000000000003" customHeight="1" x14ac:dyDescent="0.2"/>
    <row r="381" spans="1:22" ht="53.45" customHeight="1" x14ac:dyDescent="0.2"/>
    <row r="382" spans="1:22" ht="33.6" customHeight="1" x14ac:dyDescent="0.2"/>
    <row r="383" spans="1:22" ht="56.1" customHeight="1" x14ac:dyDescent="0.2"/>
    <row r="384" spans="1:22" ht="21" customHeight="1" x14ac:dyDescent="0.2">
      <c r="A384" s="46"/>
      <c r="B384" s="46"/>
      <c r="D384" s="46"/>
      <c r="E384" s="46"/>
      <c r="F384" s="46"/>
      <c r="G384" s="46"/>
      <c r="H384" s="46"/>
      <c r="I384" s="46"/>
      <c r="J384" s="46"/>
      <c r="N384" s="46"/>
    </row>
    <row r="385" spans="3:3" s="46" customFormat="1" ht="45" customHeight="1" x14ac:dyDescent="0.2">
      <c r="C385" s="71"/>
    </row>
    <row r="386" spans="3:3" s="46" customFormat="1" ht="54.95" customHeight="1" x14ac:dyDescent="0.2">
      <c r="C386" s="71"/>
    </row>
    <row r="387" spans="3:3" s="46" customFormat="1" ht="36.6" customHeight="1" x14ac:dyDescent="0.2">
      <c r="C387" s="71"/>
    </row>
    <row r="388" spans="3:3" s="46" customFormat="1" ht="63" customHeight="1" x14ac:dyDescent="0.2">
      <c r="C388" s="71"/>
    </row>
    <row r="389" spans="3:3" s="46" customFormat="1" ht="66" customHeight="1" x14ac:dyDescent="0.2">
      <c r="C389" s="71"/>
    </row>
    <row r="390" spans="3:3" s="46" customFormat="1" ht="66" customHeight="1" x14ac:dyDescent="0.2">
      <c r="C390" s="71"/>
    </row>
    <row r="391" spans="3:3" s="46" customFormat="1" ht="68.25" customHeight="1" x14ac:dyDescent="0.2">
      <c r="C391" s="71"/>
    </row>
    <row r="392" spans="3:3" s="46" customFormat="1" ht="38.1" customHeight="1" x14ac:dyDescent="0.2">
      <c r="C392" s="71"/>
    </row>
    <row r="393" spans="3:3" s="46" customFormat="1" ht="84" customHeight="1" x14ac:dyDescent="0.2">
      <c r="C393" s="71"/>
    </row>
    <row r="394" spans="3:3" s="46" customFormat="1" ht="36.950000000000003" customHeight="1" x14ac:dyDescent="0.2">
      <c r="C394" s="71"/>
    </row>
    <row r="395" spans="3:3" s="46" customFormat="1" ht="45.6" customHeight="1" x14ac:dyDescent="0.2">
      <c r="C395" s="71"/>
    </row>
    <row r="396" spans="3:3" s="46" customFormat="1" ht="16.5" customHeight="1" x14ac:dyDescent="0.2">
      <c r="C396" s="71"/>
    </row>
    <row r="397" spans="3:3" s="46" customFormat="1" ht="47.1" customHeight="1" x14ac:dyDescent="0.2">
      <c r="C397" s="71"/>
    </row>
    <row r="398" spans="3:3" s="46" customFormat="1" ht="18" customHeight="1" x14ac:dyDescent="0.2">
      <c r="C398" s="71"/>
    </row>
    <row r="399" spans="3:3" s="46" customFormat="1" ht="37.5" customHeight="1" x14ac:dyDescent="0.2">
      <c r="C399" s="71"/>
    </row>
    <row r="400" spans="3:3" s="46" customFormat="1" ht="48.95" customHeight="1" x14ac:dyDescent="0.2">
      <c r="C400" s="71"/>
    </row>
    <row r="401" spans="3:3" s="46" customFormat="1" ht="85.5" customHeight="1" x14ac:dyDescent="0.2">
      <c r="C401" s="71"/>
    </row>
    <row r="402" spans="3:3" s="46" customFormat="1" ht="30.6" customHeight="1" x14ac:dyDescent="0.2">
      <c r="C402" s="71"/>
    </row>
    <row r="403" spans="3:3" s="46" customFormat="1" ht="53.1" customHeight="1" x14ac:dyDescent="0.2">
      <c r="C403" s="71"/>
    </row>
    <row r="404" spans="3:3" s="46" customFormat="1" ht="60" customHeight="1" x14ac:dyDescent="0.2">
      <c r="C404" s="71"/>
    </row>
    <row r="405" spans="3:3" s="46" customFormat="1" ht="38.1" customHeight="1" x14ac:dyDescent="0.2">
      <c r="C405" s="71"/>
    </row>
    <row r="406" spans="3:3" s="46" customFormat="1" ht="48.95" customHeight="1" x14ac:dyDescent="0.2">
      <c r="C406" s="71"/>
    </row>
    <row r="407" spans="3:3" s="46" customFormat="1" ht="18" customHeight="1" x14ac:dyDescent="0.2">
      <c r="C407" s="71"/>
    </row>
    <row r="408" spans="3:3" s="46" customFormat="1" ht="42" customHeight="1" x14ac:dyDescent="0.2">
      <c r="C408" s="71"/>
    </row>
    <row r="409" spans="3:3" s="46" customFormat="1" ht="54.6" customHeight="1" x14ac:dyDescent="0.2">
      <c r="C409" s="71"/>
    </row>
    <row r="410" spans="3:3" s="46" customFormat="1" ht="33.6" customHeight="1" x14ac:dyDescent="0.2">
      <c r="C410" s="71"/>
    </row>
    <row r="411" spans="3:3" s="46" customFormat="1" ht="24" customHeight="1" x14ac:dyDescent="0.2">
      <c r="C411" s="71"/>
    </row>
    <row r="412" spans="3:3" s="46" customFormat="1" ht="38.1" customHeight="1" x14ac:dyDescent="0.2">
      <c r="C412" s="71"/>
    </row>
    <row r="413" spans="3:3" s="46" customFormat="1" ht="47.1" customHeight="1" x14ac:dyDescent="0.2">
      <c r="C413" s="71"/>
    </row>
    <row r="414" spans="3:3" s="46" customFormat="1" ht="54" customHeight="1" x14ac:dyDescent="0.2">
      <c r="C414" s="71"/>
    </row>
    <row r="415" spans="3:3" s="46" customFormat="1" ht="39.6" customHeight="1" x14ac:dyDescent="0.2">
      <c r="C415" s="71"/>
    </row>
    <row r="416" spans="3:3" s="46" customFormat="1" ht="48" customHeight="1" x14ac:dyDescent="0.2">
      <c r="C416" s="71"/>
    </row>
    <row r="417" spans="3:3" s="46" customFormat="1" ht="68.099999999999994" customHeight="1" x14ac:dyDescent="0.2">
      <c r="C417" s="71"/>
    </row>
    <row r="418" spans="3:3" s="46" customFormat="1" ht="68.099999999999994" customHeight="1" x14ac:dyDescent="0.2">
      <c r="C418" s="71"/>
    </row>
    <row r="419" spans="3:3" s="46" customFormat="1" ht="33.6" hidden="1" customHeight="1" x14ac:dyDescent="0.2">
      <c r="C419" s="71"/>
    </row>
    <row r="420" spans="3:3" s="46" customFormat="1" ht="62.45" hidden="1" customHeight="1" x14ac:dyDescent="0.2">
      <c r="C420" s="71"/>
    </row>
    <row r="421" spans="3:3" s="46" customFormat="1" ht="36.950000000000003" customHeight="1" x14ac:dyDescent="0.2">
      <c r="C421" s="71"/>
    </row>
    <row r="422" spans="3:3" s="46" customFormat="1" ht="55.5" customHeight="1" x14ac:dyDescent="0.2">
      <c r="C422" s="71"/>
    </row>
    <row r="423" spans="3:3" s="46" customFormat="1" ht="99" hidden="1" customHeight="1" x14ac:dyDescent="0.2">
      <c r="C423" s="71"/>
    </row>
    <row r="424" spans="3:3" s="46" customFormat="1" ht="92.1" hidden="1" customHeight="1" x14ac:dyDescent="0.2">
      <c r="C424" s="71"/>
    </row>
    <row r="425" spans="3:3" s="46" customFormat="1" ht="20.100000000000001" customHeight="1" x14ac:dyDescent="0.2">
      <c r="C425" s="71"/>
    </row>
    <row r="426" spans="3:3" s="46" customFormat="1" ht="36.950000000000003" customHeight="1" x14ac:dyDescent="0.2">
      <c r="C426" s="71"/>
    </row>
    <row r="427" spans="3:3" s="46" customFormat="1" ht="61.5" customHeight="1" x14ac:dyDescent="0.2">
      <c r="C427" s="71"/>
    </row>
    <row r="428" spans="3:3" s="46" customFormat="1" ht="35.450000000000003" customHeight="1" x14ac:dyDescent="0.2">
      <c r="C428" s="71"/>
    </row>
    <row r="429" spans="3:3" s="46" customFormat="1" ht="53.45" customHeight="1" x14ac:dyDescent="0.2">
      <c r="C429" s="71"/>
    </row>
    <row r="430" spans="3:3" s="46" customFormat="1" ht="36.6" customHeight="1" x14ac:dyDescent="0.2">
      <c r="C430" s="71"/>
    </row>
    <row r="431" spans="3:3" s="46" customFormat="1" ht="80.099999999999994" customHeight="1" x14ac:dyDescent="0.2">
      <c r="C431" s="71"/>
    </row>
    <row r="432" spans="3:3" s="46" customFormat="1" ht="36.950000000000003" customHeight="1" x14ac:dyDescent="0.2">
      <c r="C432" s="71"/>
    </row>
    <row r="433" spans="3:3" s="46" customFormat="1" ht="81.599999999999994" customHeight="1" x14ac:dyDescent="0.2">
      <c r="C433" s="71"/>
    </row>
    <row r="434" spans="3:3" s="46" customFormat="1" ht="36.950000000000003" hidden="1" customHeight="1" x14ac:dyDescent="0.2">
      <c r="C434" s="71"/>
    </row>
    <row r="435" spans="3:3" s="46" customFormat="1" ht="48" hidden="1" customHeight="1" x14ac:dyDescent="0.2">
      <c r="C435" s="71"/>
    </row>
    <row r="436" spans="3:3" s="46" customFormat="1" ht="18" customHeight="1" x14ac:dyDescent="0.2">
      <c r="C436" s="71"/>
    </row>
    <row r="437" spans="3:3" s="46" customFormat="1" ht="83.1" customHeight="1" x14ac:dyDescent="0.2">
      <c r="C437" s="71"/>
    </row>
    <row r="438" spans="3:3" s="46" customFormat="1" ht="64.5" customHeight="1" x14ac:dyDescent="0.2">
      <c r="C438" s="71"/>
    </row>
    <row r="439" spans="3:3" s="46" customFormat="1" ht="36.6" customHeight="1" x14ac:dyDescent="0.2">
      <c r="C439" s="71"/>
    </row>
    <row r="440" spans="3:3" s="46" customFormat="1" ht="18" customHeight="1" x14ac:dyDescent="0.2">
      <c r="C440" s="71"/>
    </row>
    <row r="441" spans="3:3" s="46" customFormat="1" x14ac:dyDescent="0.2">
      <c r="C441" s="71"/>
    </row>
    <row r="442" spans="3:3" s="46" customFormat="1" ht="60.6" customHeight="1" x14ac:dyDescent="0.2">
      <c r="C442" s="71"/>
    </row>
    <row r="443" spans="3:3" s="46" customFormat="1" x14ac:dyDescent="0.2">
      <c r="C443" s="71"/>
    </row>
    <row r="444" spans="3:3" s="46" customFormat="1" ht="71.099999999999994" customHeight="1" x14ac:dyDescent="0.2">
      <c r="C444" s="71"/>
    </row>
    <row r="445" spans="3:3" s="46" customFormat="1" ht="65.099999999999994" customHeight="1" x14ac:dyDescent="0.2">
      <c r="C445" s="71"/>
    </row>
    <row r="446" spans="3:3" s="46" customFormat="1" ht="33.950000000000003" customHeight="1" x14ac:dyDescent="0.2">
      <c r="C446" s="71"/>
    </row>
    <row r="447" spans="3:3" s="46" customFormat="1" ht="53.1" customHeight="1" x14ac:dyDescent="0.2">
      <c r="C447" s="71"/>
    </row>
    <row r="448" spans="3:3" s="46" customFormat="1" ht="34.5" customHeight="1" x14ac:dyDescent="0.2">
      <c r="C448" s="71"/>
    </row>
    <row r="449" spans="3:3" s="46" customFormat="1" ht="20.45" customHeight="1" x14ac:dyDescent="0.2">
      <c r="C449" s="71"/>
    </row>
    <row r="450" spans="3:3" s="46" customFormat="1" ht="56.45" customHeight="1" x14ac:dyDescent="0.2">
      <c r="C450" s="71"/>
    </row>
    <row r="451" spans="3:3" s="46" customFormat="1" x14ac:dyDescent="0.2">
      <c r="C451" s="71"/>
    </row>
    <row r="452" spans="3:3" s="46" customFormat="1" ht="17.100000000000001" customHeight="1" x14ac:dyDescent="0.2">
      <c r="C452" s="71"/>
    </row>
    <row r="453" spans="3:3" s="46" customFormat="1" ht="53.45" customHeight="1" x14ac:dyDescent="0.2">
      <c r="C453" s="71"/>
    </row>
    <row r="454" spans="3:3" s="46" customFormat="1" ht="38.1" customHeight="1" x14ac:dyDescent="0.2">
      <c r="C454" s="71"/>
    </row>
    <row r="455" spans="3:3" s="46" customFormat="1" ht="17.100000000000001" customHeight="1" x14ac:dyDescent="0.2">
      <c r="C455" s="71"/>
    </row>
    <row r="456" spans="3:3" s="46" customFormat="1" ht="51" customHeight="1" x14ac:dyDescent="0.2">
      <c r="C456" s="71"/>
    </row>
    <row r="457" spans="3:3" s="46" customFormat="1" ht="36" customHeight="1" x14ac:dyDescent="0.2">
      <c r="C457" s="71"/>
    </row>
    <row r="458" spans="3:3" s="46" customFormat="1" x14ac:dyDescent="0.2">
      <c r="C458" s="71"/>
    </row>
    <row r="459" spans="3:3" s="46" customFormat="1" ht="67.5" customHeight="1" x14ac:dyDescent="0.2">
      <c r="C459" s="71"/>
    </row>
    <row r="460" spans="3:3" s="46" customFormat="1" x14ac:dyDescent="0.2">
      <c r="C460" s="71"/>
    </row>
    <row r="461" spans="3:3" s="46" customFormat="1" x14ac:dyDescent="0.2">
      <c r="C461" s="71"/>
    </row>
    <row r="462" spans="3:3" s="46" customFormat="1" x14ac:dyDescent="0.2">
      <c r="C462" s="71"/>
    </row>
    <row r="463" spans="3:3" s="46" customFormat="1" x14ac:dyDescent="0.2">
      <c r="C463" s="71"/>
    </row>
    <row r="464" spans="3:3" s="46" customFormat="1" x14ac:dyDescent="0.2">
      <c r="C464" s="71"/>
    </row>
    <row r="465" spans="1:14" x14ac:dyDescent="0.2">
      <c r="A465" s="46"/>
      <c r="B465" s="46"/>
      <c r="D465" s="46"/>
      <c r="E465" s="46"/>
      <c r="F465" s="46"/>
      <c r="G465" s="46"/>
      <c r="H465" s="46"/>
      <c r="I465" s="46"/>
      <c r="J465" s="46"/>
      <c r="N465" s="46"/>
    </row>
    <row r="466" spans="1:14" x14ac:dyDescent="0.2">
      <c r="A466" s="46"/>
      <c r="B466" s="46"/>
      <c r="D466" s="46"/>
      <c r="E466" s="46"/>
      <c r="F466" s="46"/>
      <c r="G466" s="46"/>
      <c r="H466" s="46"/>
      <c r="I466" s="46"/>
      <c r="J466" s="46"/>
      <c r="N466" s="46"/>
    </row>
    <row r="467" spans="1:14" x14ac:dyDescent="0.2">
      <c r="A467" s="46"/>
      <c r="B467" s="46"/>
      <c r="D467" s="46"/>
      <c r="E467" s="46"/>
      <c r="F467" s="46"/>
      <c r="G467" s="46"/>
      <c r="H467" s="46"/>
      <c r="I467" s="46"/>
      <c r="J467" s="46"/>
      <c r="N467" s="46"/>
    </row>
    <row r="468" spans="1:14" x14ac:dyDescent="0.2">
      <c r="A468" s="46"/>
      <c r="B468" s="46"/>
      <c r="D468" s="46"/>
      <c r="E468" s="46"/>
      <c r="F468" s="46"/>
      <c r="G468" s="46"/>
      <c r="H468" s="46"/>
      <c r="I468" s="46"/>
      <c r="J468" s="46"/>
      <c r="N468" s="46"/>
    </row>
    <row r="469" spans="1:14" x14ac:dyDescent="0.2">
      <c r="A469" s="46"/>
      <c r="B469" s="46"/>
      <c r="D469" s="46"/>
      <c r="E469" s="46"/>
      <c r="F469" s="46"/>
      <c r="G469" s="46"/>
      <c r="H469" s="46"/>
      <c r="I469" s="46"/>
      <c r="J469" s="46"/>
      <c r="N469" s="46"/>
    </row>
    <row r="470" spans="1:14" x14ac:dyDescent="0.2">
      <c r="A470" s="46"/>
      <c r="B470" s="46"/>
      <c r="D470" s="46"/>
      <c r="E470" s="46"/>
      <c r="F470" s="46"/>
      <c r="G470" s="46"/>
      <c r="H470" s="46"/>
      <c r="I470" s="46"/>
      <c r="J470" s="46"/>
      <c r="N470" s="46"/>
    </row>
    <row r="471" spans="1:14" x14ac:dyDescent="0.2">
      <c r="A471" s="46"/>
      <c r="B471" s="46"/>
      <c r="D471" s="46"/>
      <c r="E471" s="46"/>
      <c r="F471" s="46"/>
      <c r="G471" s="46"/>
      <c r="H471" s="46"/>
      <c r="I471" s="46"/>
      <c r="J471" s="46"/>
      <c r="N471" s="46"/>
    </row>
    <row r="472" spans="1:14" x14ac:dyDescent="0.2">
      <c r="A472" s="46"/>
      <c r="B472" s="46"/>
      <c r="D472" s="46"/>
      <c r="E472" s="46"/>
      <c r="F472" s="46"/>
      <c r="G472" s="46"/>
      <c r="H472" s="46"/>
      <c r="I472" s="46"/>
      <c r="J472" s="46"/>
      <c r="N472" s="46"/>
    </row>
    <row r="473" spans="1:14" x14ac:dyDescent="0.2">
      <c r="A473" s="46"/>
      <c r="B473" s="46"/>
      <c r="D473" s="46"/>
      <c r="E473" s="46"/>
      <c r="F473" s="46"/>
      <c r="G473" s="46"/>
      <c r="H473" s="46"/>
      <c r="I473" s="46"/>
      <c r="J473" s="46"/>
      <c r="N473" s="46"/>
    </row>
    <row r="474" spans="1:14" x14ac:dyDescent="0.2">
      <c r="A474" s="46"/>
      <c r="B474" s="46"/>
      <c r="D474" s="46"/>
      <c r="E474" s="46"/>
      <c r="F474" s="46"/>
      <c r="G474" s="46"/>
      <c r="H474" s="46"/>
      <c r="I474" s="46"/>
      <c r="J474" s="46"/>
      <c r="N474" s="46"/>
    </row>
    <row r="475" spans="1:14" ht="33" customHeight="1" x14ac:dyDescent="0.2">
      <c r="A475" s="46"/>
      <c r="B475" s="46"/>
      <c r="D475" s="46"/>
      <c r="E475" s="46"/>
      <c r="F475" s="46"/>
      <c r="G475" s="46"/>
      <c r="H475" s="46"/>
      <c r="I475" s="46"/>
      <c r="J475" s="46"/>
      <c r="N475" s="46"/>
    </row>
    <row r="477" spans="1:14" ht="15.6" customHeight="1" x14ac:dyDescent="0.2">
      <c r="A477" s="46"/>
      <c r="B477" s="46"/>
      <c r="D477" s="46"/>
      <c r="E477" s="46"/>
      <c r="F477" s="46"/>
      <c r="G477" s="46"/>
      <c r="H477" s="46"/>
      <c r="I477" s="46"/>
      <c r="J477" s="46"/>
      <c r="N477" s="46"/>
    </row>
    <row r="478" spans="1:14" ht="14.1" customHeight="1" x14ac:dyDescent="0.2">
      <c r="A478" s="46"/>
      <c r="B478" s="46"/>
      <c r="D478" s="46"/>
      <c r="E478" s="46"/>
      <c r="F478" s="46"/>
      <c r="G478" s="46"/>
      <c r="H478" s="46"/>
      <c r="I478" s="46"/>
      <c r="J478" s="46"/>
      <c r="N478" s="46"/>
    </row>
    <row r="479" spans="1:14" ht="14.1" customHeight="1" x14ac:dyDescent="0.2">
      <c r="A479" s="46"/>
      <c r="B479" s="46"/>
      <c r="D479" s="46"/>
      <c r="E479" s="46"/>
      <c r="F479" s="46"/>
      <c r="G479" s="46"/>
      <c r="H479" s="46"/>
      <c r="I479" s="46"/>
      <c r="J479" s="46"/>
      <c r="N479" s="46"/>
    </row>
    <row r="484" spans="1:14" ht="38.450000000000003" customHeight="1" x14ac:dyDescent="0.2">
      <c r="A484" s="46"/>
      <c r="B484" s="46"/>
      <c r="D484" s="46"/>
      <c r="E484" s="46"/>
      <c r="F484" s="46"/>
      <c r="G484" s="46"/>
      <c r="H484" s="46"/>
      <c r="I484" s="46"/>
      <c r="J484" s="46"/>
      <c r="N484" s="46"/>
    </row>
    <row r="485" spans="1:14" ht="65.45" customHeight="1" x14ac:dyDescent="0.2">
      <c r="A485" s="46"/>
      <c r="B485" s="46"/>
      <c r="D485" s="46"/>
      <c r="E485" s="46"/>
      <c r="F485" s="46"/>
      <c r="G485" s="46"/>
      <c r="H485" s="46"/>
      <c r="I485" s="46"/>
      <c r="J485" s="46"/>
      <c r="N485" s="46"/>
    </row>
    <row r="486" spans="1:14" ht="35.1" customHeight="1" x14ac:dyDescent="0.2">
      <c r="A486" s="46"/>
      <c r="B486" s="46"/>
      <c r="D486" s="46"/>
      <c r="E486" s="46"/>
      <c r="F486" s="46"/>
      <c r="G486" s="46"/>
      <c r="H486" s="46"/>
      <c r="I486" s="46"/>
      <c r="J486" s="46"/>
      <c r="N486" s="46"/>
    </row>
    <row r="487" spans="1:14" ht="52.5" customHeight="1" x14ac:dyDescent="0.2">
      <c r="A487" s="46"/>
      <c r="B487" s="46"/>
      <c r="D487" s="46"/>
      <c r="E487" s="46"/>
      <c r="F487" s="46"/>
      <c r="G487" s="46"/>
      <c r="H487" s="46"/>
      <c r="I487" s="46"/>
      <c r="J487" s="46"/>
      <c r="N487" s="46"/>
    </row>
    <row r="488" spans="1:14" ht="32.450000000000003" customHeight="1" x14ac:dyDescent="0.2">
      <c r="A488" s="46"/>
      <c r="B488" s="46"/>
      <c r="D488" s="46"/>
      <c r="E488" s="46"/>
      <c r="F488" s="46"/>
      <c r="G488" s="46"/>
      <c r="H488" s="46"/>
      <c r="I488" s="46"/>
      <c r="J488" s="46"/>
      <c r="N488" s="46"/>
    </row>
    <row r="489" spans="1:14" ht="43.5" customHeight="1" x14ac:dyDescent="0.2">
      <c r="A489" s="46"/>
      <c r="B489" s="46"/>
      <c r="D489" s="46"/>
      <c r="E489" s="46"/>
      <c r="F489" s="46"/>
      <c r="G489" s="46"/>
      <c r="H489" s="46"/>
      <c r="I489" s="46"/>
      <c r="J489" s="46"/>
      <c r="N489" s="46"/>
    </row>
    <row r="490" spans="1:14" ht="43.5" customHeight="1" x14ac:dyDescent="0.2">
      <c r="A490" s="46"/>
      <c r="B490" s="46"/>
      <c r="D490" s="46"/>
      <c r="E490" s="46"/>
      <c r="F490" s="46"/>
      <c r="G490" s="46"/>
      <c r="H490" s="46"/>
      <c r="I490" s="46"/>
      <c r="J490" s="46"/>
      <c r="N490" s="46"/>
    </row>
    <row r="491" spans="1:14" ht="43.5" customHeight="1" x14ac:dyDescent="0.2">
      <c r="A491" s="46"/>
      <c r="B491" s="46"/>
      <c r="D491" s="46"/>
      <c r="E491" s="46"/>
      <c r="F491" s="46"/>
      <c r="G491" s="46"/>
      <c r="H491" s="46"/>
      <c r="I491" s="46"/>
      <c r="J491" s="46"/>
      <c r="N491" s="46"/>
    </row>
    <row r="492" spans="1:14" ht="52.5" customHeight="1" x14ac:dyDescent="0.2">
      <c r="A492" s="46"/>
      <c r="B492" s="46"/>
      <c r="D492" s="46"/>
      <c r="E492" s="46"/>
      <c r="F492" s="46"/>
      <c r="G492" s="46"/>
      <c r="H492" s="46"/>
      <c r="I492" s="46"/>
      <c r="J492" s="46"/>
      <c r="N492" s="46"/>
    </row>
    <row r="493" spans="1:14" ht="52.5" customHeight="1" x14ac:dyDescent="0.2">
      <c r="A493" s="46"/>
      <c r="B493" s="46"/>
      <c r="D493" s="46"/>
      <c r="E493" s="46"/>
      <c r="F493" s="46"/>
      <c r="G493" s="46"/>
      <c r="H493" s="46"/>
      <c r="I493" s="46"/>
      <c r="J493" s="46"/>
      <c r="N493" s="46"/>
    </row>
    <row r="494" spans="1:14" ht="66.95" customHeight="1" x14ac:dyDescent="0.2">
      <c r="A494" s="46"/>
      <c r="B494" s="46"/>
      <c r="D494" s="46"/>
      <c r="E494" s="46"/>
      <c r="F494" s="46"/>
      <c r="G494" s="46"/>
      <c r="H494" s="46"/>
      <c r="I494" s="46"/>
      <c r="J494" s="46"/>
      <c r="N494" s="46"/>
    </row>
    <row r="495" spans="1:14" ht="39" customHeight="1" x14ac:dyDescent="0.2">
      <c r="A495" s="46"/>
      <c r="B495" s="46"/>
      <c r="D495" s="46"/>
      <c r="E495" s="46"/>
      <c r="F495" s="46"/>
      <c r="G495" s="46"/>
      <c r="H495" s="46"/>
      <c r="I495" s="46"/>
      <c r="J495" s="46"/>
      <c r="N495" s="46"/>
    </row>
    <row r="496" spans="1:14" ht="46.5" customHeight="1" x14ac:dyDescent="0.2">
      <c r="A496" s="46"/>
      <c r="B496" s="46"/>
      <c r="D496" s="46"/>
      <c r="E496" s="46"/>
      <c r="F496" s="46"/>
      <c r="G496" s="46"/>
      <c r="H496" s="46"/>
      <c r="I496" s="46"/>
      <c r="J496" s="46"/>
      <c r="N496" s="46"/>
    </row>
    <row r="497" spans="3:3" s="46" customFormat="1" ht="46.5" customHeight="1" x14ac:dyDescent="0.2">
      <c r="C497" s="71"/>
    </row>
    <row r="498" spans="3:3" s="46" customFormat="1" ht="46.5" customHeight="1" x14ac:dyDescent="0.2">
      <c r="C498" s="71"/>
    </row>
    <row r="499" spans="3:3" s="46" customFormat="1" ht="46.5" customHeight="1" x14ac:dyDescent="0.2">
      <c r="C499" s="71"/>
    </row>
    <row r="500" spans="3:3" s="46" customFormat="1" ht="43.5" customHeight="1" x14ac:dyDescent="0.2">
      <c r="C500" s="71"/>
    </row>
    <row r="501" spans="3:3" s="46" customFormat="1" ht="43.5" customHeight="1" x14ac:dyDescent="0.2">
      <c r="C501" s="71"/>
    </row>
    <row r="502" spans="3:3" s="46" customFormat="1" ht="75.599999999999994" customHeight="1" x14ac:dyDescent="0.2">
      <c r="C502" s="71"/>
    </row>
    <row r="503" spans="3:3" s="46" customFormat="1" ht="72.599999999999994" customHeight="1" x14ac:dyDescent="0.2">
      <c r="C503" s="71"/>
    </row>
    <row r="504" spans="3:3" s="46" customFormat="1" ht="21.6" customHeight="1" x14ac:dyDescent="0.2">
      <c r="C504" s="71"/>
    </row>
    <row r="505" spans="3:3" s="46" customFormat="1" ht="47.1" customHeight="1" x14ac:dyDescent="0.2">
      <c r="C505" s="71"/>
    </row>
    <row r="506" spans="3:3" s="46" customFormat="1" ht="50.1" customHeight="1" x14ac:dyDescent="0.2">
      <c r="C506" s="71"/>
    </row>
    <row r="507" spans="3:3" s="46" customFormat="1" ht="72.599999999999994" customHeight="1" x14ac:dyDescent="0.2">
      <c r="C507" s="71"/>
    </row>
    <row r="508" spans="3:3" s="46" customFormat="1" ht="42.6" customHeight="1" x14ac:dyDescent="0.2">
      <c r="C508" s="71"/>
    </row>
    <row r="509" spans="3:3" s="46" customFormat="1" ht="42.6" customHeight="1" x14ac:dyDescent="0.2">
      <c r="C509" s="71"/>
    </row>
    <row r="510" spans="3:3" s="46" customFormat="1" ht="53.1" customHeight="1" x14ac:dyDescent="0.2">
      <c r="C510" s="71"/>
    </row>
    <row r="511" spans="3:3" s="46" customFormat="1" ht="24.95" customHeight="1" x14ac:dyDescent="0.2">
      <c r="C511" s="71"/>
    </row>
    <row r="512" spans="3:3" s="46" customFormat="1" ht="48" customHeight="1" x14ac:dyDescent="0.2">
      <c r="C512" s="71"/>
    </row>
    <row r="513" spans="3:3" s="46" customFormat="1" ht="46.5" customHeight="1" x14ac:dyDescent="0.2">
      <c r="C513" s="71"/>
    </row>
    <row r="514" spans="3:3" s="46" customFormat="1" ht="21.6" customHeight="1" x14ac:dyDescent="0.2">
      <c r="C514" s="71"/>
    </row>
    <row r="515" spans="3:3" s="46" customFormat="1" ht="54" customHeight="1" x14ac:dyDescent="0.2">
      <c r="C515" s="71"/>
    </row>
    <row r="516" spans="3:3" s="46" customFormat="1" ht="46.5" customHeight="1" x14ac:dyDescent="0.2">
      <c r="C516" s="71"/>
    </row>
    <row r="517" spans="3:3" s="46" customFormat="1" ht="21.6" customHeight="1" x14ac:dyDescent="0.2">
      <c r="C517" s="71"/>
    </row>
    <row r="518" spans="3:3" s="46" customFormat="1" ht="44.1" customHeight="1" x14ac:dyDescent="0.2">
      <c r="C518" s="71"/>
    </row>
    <row r="519" spans="3:3" s="46" customFormat="1" ht="45.95" customHeight="1" x14ac:dyDescent="0.2">
      <c r="C519" s="71"/>
    </row>
    <row r="520" spans="3:3" s="46" customFormat="1" ht="74.099999999999994" customHeight="1" x14ac:dyDescent="0.2">
      <c r="C520" s="71"/>
    </row>
    <row r="521" spans="3:3" s="46" customFormat="1" ht="45.6" customHeight="1" x14ac:dyDescent="0.2">
      <c r="C521" s="71"/>
    </row>
    <row r="522" spans="3:3" s="46" customFormat="1" ht="45.6" customHeight="1" x14ac:dyDescent="0.2">
      <c r="C522" s="71"/>
    </row>
    <row r="523" spans="3:3" s="46" customFormat="1" ht="53.45" customHeight="1" x14ac:dyDescent="0.2">
      <c r="C523" s="71"/>
    </row>
    <row r="524" spans="3:3" s="46" customFormat="1" ht="50.1" customHeight="1" x14ac:dyDescent="0.2">
      <c r="C524" s="71"/>
    </row>
    <row r="525" spans="3:3" s="46" customFormat="1" ht="64.5" customHeight="1" x14ac:dyDescent="0.2">
      <c r="C525" s="71"/>
    </row>
    <row r="526" spans="3:3" s="46" customFormat="1" ht="78" customHeight="1" x14ac:dyDescent="0.2">
      <c r="C526" s="71"/>
    </row>
    <row r="527" spans="3:3" s="46" customFormat="1" ht="63.6" customHeight="1" x14ac:dyDescent="0.2">
      <c r="C527" s="71"/>
    </row>
    <row r="528" spans="3:3" s="46" customFormat="1" ht="47.1" customHeight="1" x14ac:dyDescent="0.2">
      <c r="C528" s="71"/>
    </row>
    <row r="529" spans="1:14" ht="47.1" customHeight="1" x14ac:dyDescent="0.2">
      <c r="A529" s="46"/>
      <c r="B529" s="46"/>
      <c r="D529" s="46"/>
      <c r="E529" s="46"/>
      <c r="F529" s="46"/>
      <c r="G529" s="46"/>
      <c r="H529" s="46"/>
      <c r="I529" s="46"/>
      <c r="J529" s="46"/>
      <c r="N529" s="46"/>
    </row>
    <row r="530" spans="1:14" ht="44.45" customHeight="1" x14ac:dyDescent="0.2">
      <c r="A530" s="46"/>
      <c r="B530" s="46"/>
      <c r="D530" s="46"/>
      <c r="E530" s="46"/>
      <c r="F530" s="46"/>
      <c r="G530" s="46"/>
      <c r="H530" s="46"/>
      <c r="I530" s="46"/>
      <c r="J530" s="46"/>
      <c r="N530" s="46"/>
    </row>
    <row r="531" spans="1:14" ht="44.45" customHeight="1" x14ac:dyDescent="0.2">
      <c r="A531" s="46"/>
      <c r="B531" s="46"/>
      <c r="D531" s="46"/>
      <c r="E531" s="46"/>
      <c r="F531" s="46"/>
      <c r="G531" s="46"/>
      <c r="H531" s="46"/>
      <c r="I531" s="46"/>
      <c r="J531" s="46"/>
      <c r="N531" s="46"/>
    </row>
    <row r="532" spans="1:14" ht="44.45" customHeight="1" x14ac:dyDescent="0.2">
      <c r="A532" s="46"/>
      <c r="B532" s="46"/>
      <c r="D532" s="46"/>
      <c r="E532" s="46"/>
      <c r="F532" s="46"/>
      <c r="G532" s="46"/>
      <c r="H532" s="46"/>
      <c r="I532" s="46"/>
      <c r="J532" s="46"/>
      <c r="N532" s="46"/>
    </row>
    <row r="533" spans="1:14" ht="82.5" customHeight="1" x14ac:dyDescent="0.2">
      <c r="A533" s="46"/>
      <c r="B533" s="46"/>
      <c r="D533" s="46"/>
      <c r="E533" s="46"/>
      <c r="F533" s="46"/>
      <c r="G533" s="46"/>
      <c r="H533" s="46"/>
      <c r="I533" s="46"/>
      <c r="J533" s="46"/>
      <c r="N533" s="46"/>
    </row>
    <row r="534" spans="1:14" ht="70.5" customHeight="1" x14ac:dyDescent="0.2">
      <c r="A534" s="46"/>
      <c r="B534" s="46"/>
      <c r="D534" s="46"/>
      <c r="E534" s="46"/>
      <c r="F534" s="46"/>
      <c r="G534" s="46"/>
      <c r="H534" s="46"/>
      <c r="I534" s="46"/>
      <c r="J534" s="46"/>
      <c r="N534" s="46"/>
    </row>
    <row r="535" spans="1:14" ht="75.599999999999994" customHeight="1" x14ac:dyDescent="0.2">
      <c r="A535" s="46"/>
      <c r="B535" s="46"/>
      <c r="D535" s="46"/>
      <c r="E535" s="46"/>
      <c r="F535" s="46"/>
      <c r="G535" s="46"/>
      <c r="H535" s="46"/>
      <c r="I535" s="46"/>
      <c r="J535" s="46"/>
      <c r="N535" s="46"/>
    </row>
    <row r="550" spans="1:14" x14ac:dyDescent="0.2">
      <c r="A550" s="46"/>
      <c r="B550" s="46"/>
      <c r="D550" s="46"/>
      <c r="E550" s="46"/>
      <c r="F550" s="46"/>
      <c r="G550" s="46"/>
      <c r="H550" s="46"/>
      <c r="I550" s="46"/>
      <c r="J550" s="46"/>
      <c r="N550" s="46"/>
    </row>
    <row r="551" spans="1:14" x14ac:dyDescent="0.2">
      <c r="A551" s="46"/>
      <c r="B551" s="46"/>
      <c r="D551" s="46"/>
      <c r="E551" s="46"/>
      <c r="F551" s="46"/>
      <c r="G551" s="46"/>
      <c r="H551" s="46"/>
      <c r="I551" s="46"/>
      <c r="J551" s="46"/>
      <c r="N551" s="46"/>
    </row>
    <row r="552" spans="1:14" x14ac:dyDescent="0.2">
      <c r="A552" s="46"/>
      <c r="B552" s="46"/>
      <c r="D552" s="46"/>
      <c r="E552" s="46"/>
      <c r="F552" s="46"/>
      <c r="G552" s="46"/>
      <c r="H552" s="46"/>
      <c r="I552" s="46"/>
      <c r="J552" s="46"/>
      <c r="N552" s="46"/>
    </row>
    <row r="553" spans="1:14" x14ac:dyDescent="0.2">
      <c r="A553" s="46"/>
      <c r="B553" s="46"/>
      <c r="D553" s="46"/>
      <c r="E553" s="46"/>
      <c r="F553" s="46"/>
      <c r="G553" s="46"/>
      <c r="H553" s="46"/>
      <c r="I553" s="46"/>
      <c r="J553" s="46"/>
      <c r="N553" s="46"/>
    </row>
    <row r="554" spans="1:14" x14ac:dyDescent="0.2">
      <c r="A554" s="46"/>
      <c r="B554" s="46"/>
      <c r="D554" s="46"/>
      <c r="E554" s="46"/>
      <c r="F554" s="46"/>
      <c r="G554" s="46"/>
      <c r="H554" s="46"/>
      <c r="I554" s="46"/>
      <c r="J554" s="46"/>
      <c r="N554" s="46"/>
    </row>
    <row r="555" spans="1:14" x14ac:dyDescent="0.2">
      <c r="A555" s="46"/>
      <c r="B555" s="46"/>
      <c r="D555" s="46"/>
      <c r="E555" s="46"/>
      <c r="F555" s="46"/>
      <c r="G555" s="46"/>
      <c r="H555" s="46"/>
      <c r="I555" s="46"/>
      <c r="J555" s="46"/>
      <c r="N555" s="46"/>
    </row>
    <row r="556" spans="1:14" x14ac:dyDescent="0.2">
      <c r="A556" s="46"/>
      <c r="B556" s="46"/>
      <c r="D556" s="46"/>
      <c r="E556" s="46"/>
      <c r="F556" s="46"/>
      <c r="G556" s="46"/>
      <c r="H556" s="46"/>
      <c r="I556" s="46"/>
      <c r="J556" s="46"/>
      <c r="N556" s="46"/>
    </row>
    <row r="557" spans="1:14" x14ac:dyDescent="0.2">
      <c r="A557" s="46"/>
      <c r="B557" s="46"/>
      <c r="D557" s="46"/>
      <c r="E557" s="46"/>
      <c r="F557" s="46"/>
      <c r="G557" s="46"/>
      <c r="H557" s="46"/>
      <c r="I557" s="46"/>
      <c r="J557" s="46"/>
      <c r="N557" s="46"/>
    </row>
    <row r="558" spans="1:14" x14ac:dyDescent="0.2">
      <c r="A558" s="46"/>
      <c r="B558" s="46"/>
      <c r="D558" s="46"/>
      <c r="E558" s="46"/>
      <c r="F558" s="46"/>
      <c r="G558" s="46"/>
      <c r="H558" s="46"/>
      <c r="I558" s="46"/>
      <c r="J558" s="46"/>
      <c r="N558" s="46"/>
    </row>
    <row r="559" spans="1:14" x14ac:dyDescent="0.2">
      <c r="A559" s="46"/>
      <c r="B559" s="46"/>
      <c r="D559" s="46"/>
      <c r="E559" s="46"/>
      <c r="F559" s="46"/>
      <c r="G559" s="46"/>
      <c r="H559" s="46"/>
      <c r="I559" s="46"/>
      <c r="J559" s="46"/>
      <c r="N559" s="46"/>
    </row>
    <row r="560" spans="1:14" x14ac:dyDescent="0.2">
      <c r="A560" s="46"/>
      <c r="B560" s="46"/>
      <c r="D560" s="46"/>
      <c r="E560" s="46"/>
      <c r="F560" s="46"/>
      <c r="G560" s="46"/>
      <c r="H560" s="46"/>
      <c r="I560" s="46"/>
      <c r="J560" s="46"/>
      <c r="N560" s="46"/>
    </row>
    <row r="561" spans="3:3" s="46" customFormat="1" x14ac:dyDescent="0.2">
      <c r="C561" s="71"/>
    </row>
    <row r="562" spans="3:3" s="46" customFormat="1" x14ac:dyDescent="0.2">
      <c r="C562" s="71"/>
    </row>
    <row r="563" spans="3:3" s="46" customFormat="1" x14ac:dyDescent="0.2">
      <c r="C563" s="71"/>
    </row>
    <row r="564" spans="3:3" s="46" customFormat="1" x14ac:dyDescent="0.2">
      <c r="C564" s="71"/>
    </row>
    <row r="565" spans="3:3" s="46" customFormat="1" x14ac:dyDescent="0.2">
      <c r="C565" s="71"/>
    </row>
    <row r="566" spans="3:3" s="46" customFormat="1" x14ac:dyDescent="0.2">
      <c r="C566" s="71"/>
    </row>
    <row r="567" spans="3:3" s="46" customFormat="1" x14ac:dyDescent="0.2">
      <c r="C567" s="71"/>
    </row>
    <row r="568" spans="3:3" s="46" customFormat="1" x14ac:dyDescent="0.2">
      <c r="C568" s="71"/>
    </row>
    <row r="569" spans="3:3" s="46" customFormat="1" x14ac:dyDescent="0.2">
      <c r="C569" s="71"/>
    </row>
    <row r="570" spans="3:3" s="46" customFormat="1" x14ac:dyDescent="0.2">
      <c r="C570" s="71"/>
    </row>
    <row r="571" spans="3:3" s="46" customFormat="1" x14ac:dyDescent="0.2">
      <c r="C571" s="71"/>
    </row>
    <row r="572" spans="3:3" s="46" customFormat="1" x14ac:dyDescent="0.2">
      <c r="C572" s="71"/>
    </row>
    <row r="573" spans="3:3" s="46" customFormat="1" x14ac:dyDescent="0.2">
      <c r="C573" s="71"/>
    </row>
    <row r="574" spans="3:3" s="46" customFormat="1" x14ac:dyDescent="0.2">
      <c r="C574" s="71"/>
    </row>
  </sheetData>
  <mergeCells count="21">
    <mergeCell ref="J8:J9"/>
    <mergeCell ref="K8:L8"/>
    <mergeCell ref="P8:P9"/>
    <mergeCell ref="Q8:U8"/>
    <mergeCell ref="V7:V9"/>
    <mergeCell ref="A1:V1"/>
    <mergeCell ref="A3:V3"/>
    <mergeCell ref="A4:V4"/>
    <mergeCell ref="R6:V6"/>
    <mergeCell ref="A7:A9"/>
    <mergeCell ref="B7:B9"/>
    <mergeCell ref="C7:C9"/>
    <mergeCell ref="D7:D9"/>
    <mergeCell ref="F7:F9"/>
    <mergeCell ref="I7:I9"/>
    <mergeCell ref="J7:L7"/>
    <mergeCell ref="M7:M9"/>
    <mergeCell ref="N7:N9"/>
    <mergeCell ref="O7:O9"/>
    <mergeCell ref="P7:U7"/>
    <mergeCell ref="A2:V2"/>
  </mergeCells>
  <conditionalFormatting sqref="V201">
    <cfRule type="cellIs" dxfId="0" priority="13" operator="equal">
      <formula>0</formula>
    </cfRule>
  </conditionalFormatting>
  <printOptions horizontalCentered="1"/>
  <pageMargins left="0.27559055118110237" right="0.27559055118110237" top="0.59055118110236227" bottom="0.47244094488188981" header="0.31496062992125984" footer="0.31496062992125984"/>
  <pageSetup paperSize="9" scale="61" fitToHeight="0" orientation="landscape" verticalDpi="300" r:id="rId1"/>
  <headerFooter>
    <oddHeader>&amp;R&amp;"Times New Roman,Regular"PL3: KH2024 (CHI TIẾT)</oddHeader>
    <oddFooter>&amp;R&amp;"Times New Roman,Regular"&amp;P/&amp;N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15"/>
  <sheetViews>
    <sheetView showGridLines="0" showZeros="0" view="pageBreakPreview" zoomScale="90" zoomScaleNormal="50" zoomScaleSheetLayoutView="90" workbookViewId="0">
      <selection activeCell="A2" sqref="A2:Y2"/>
    </sheetView>
  </sheetViews>
  <sheetFormatPr defaultRowHeight="15.75" x14ac:dyDescent="0.25"/>
  <cols>
    <col min="1" max="1" width="6" style="172" customWidth="1"/>
    <col min="2" max="2" width="35.875" style="170" customWidth="1"/>
    <col min="3" max="3" width="6.625" style="174" hidden="1" customWidth="1"/>
    <col min="4" max="4" width="13.625" style="170" customWidth="1"/>
    <col min="5" max="5" width="9.875" style="180" hidden="1" customWidth="1"/>
    <col min="6" max="6" width="14.875" style="170" customWidth="1"/>
    <col min="7" max="7" width="12.875" style="180" hidden="1" customWidth="1"/>
    <col min="8" max="8" width="21" style="181" hidden="1" customWidth="1"/>
    <col min="9" max="9" width="9" style="182" customWidth="1"/>
    <col min="10" max="10" width="19.125" style="183" customWidth="1"/>
    <col min="11" max="11" width="10.375" style="184" customWidth="1"/>
    <col min="12" max="12" width="10.125" style="184" customWidth="1"/>
    <col min="13" max="13" width="9" style="185" hidden="1" customWidth="1"/>
    <col min="14" max="14" width="10.75" style="185" hidden="1" customWidth="1"/>
    <col min="15" max="15" width="12.75" style="178" customWidth="1"/>
    <col min="16" max="16" width="11.625" style="178" customWidth="1"/>
    <col min="17" max="17" width="12.375" style="179" customWidth="1"/>
    <col min="18" max="18" width="6.875" style="180" hidden="1" customWidth="1"/>
    <col min="19" max="19" width="10.75" style="180" hidden="1" customWidth="1"/>
    <col min="20" max="20" width="6.875" style="180" hidden="1" customWidth="1"/>
    <col min="21" max="21" width="9.875" style="180" hidden="1" customWidth="1"/>
    <col min="22" max="22" width="6.875" style="180" hidden="1" customWidth="1"/>
    <col min="23" max="23" width="9.875" style="180" hidden="1" customWidth="1"/>
    <col min="24" max="24" width="10.875" style="180" hidden="1" customWidth="1"/>
    <col min="25" max="25" width="13.25" style="170" customWidth="1"/>
    <col min="26" max="26" width="27.375" style="170" customWidth="1"/>
    <col min="27" max="27" width="7.625" style="170" customWidth="1"/>
    <col min="28" max="28" width="32.25" style="170" customWidth="1"/>
    <col min="29" max="29" width="24.375" style="170" customWidth="1"/>
    <col min="30" max="30" width="9" style="170" customWidth="1"/>
    <col min="31" max="31" width="11" style="170" customWidth="1"/>
    <col min="32" max="32" width="9" style="170" customWidth="1"/>
    <col min="33" max="33" width="29.125" style="170" bestFit="1" customWidth="1"/>
    <col min="34" max="34" width="24.875" style="170" bestFit="1" customWidth="1"/>
    <col min="35" max="37" width="9" style="170" customWidth="1"/>
    <col min="38" max="38" width="29.375" style="170" bestFit="1" customWidth="1"/>
    <col min="39" max="39" width="21.625" style="170" bestFit="1" customWidth="1"/>
    <col min="40" max="42" width="9" style="170" customWidth="1"/>
    <col min="43" max="43" width="26.375" style="170" bestFit="1" customWidth="1"/>
    <col min="44" max="44" width="18.25" style="170" bestFit="1" customWidth="1"/>
    <col min="45" max="45" width="22.875" style="170" bestFit="1" customWidth="1"/>
    <col min="46" max="222" width="8.75" style="170"/>
    <col min="223" max="223" width="4.875" style="170" bestFit="1" customWidth="1"/>
    <col min="224" max="224" width="60.625" style="170" customWidth="1"/>
    <col min="225" max="225" width="11.25" style="170" customWidth="1"/>
    <col min="226" max="232" width="12" style="170" customWidth="1"/>
    <col min="233" max="233" width="9" style="170" customWidth="1"/>
    <col min="234" max="234" width="12" style="170" customWidth="1"/>
    <col min="235" max="235" width="39.25" style="170" bestFit="1" customWidth="1"/>
    <col min="236" max="236" width="9.375" style="170" customWidth="1"/>
    <col min="237" max="237" width="12.875" style="170" customWidth="1"/>
    <col min="238" max="238" width="9.375" style="170" customWidth="1"/>
    <col min="239" max="239" width="10.125" style="170" customWidth="1"/>
    <col min="240" max="240" width="9.375" style="170" customWidth="1"/>
    <col min="241" max="241" width="8.25" style="170" customWidth="1"/>
    <col min="242" max="242" width="9.875" style="170" customWidth="1"/>
    <col min="243" max="243" width="10.625" style="170" bestFit="1" customWidth="1"/>
    <col min="244" max="244" width="28.125" style="170" bestFit="1" customWidth="1"/>
    <col min="245" max="245" width="39.25" style="170" bestFit="1" customWidth="1"/>
    <col min="246" max="246" width="9.375" style="170" customWidth="1"/>
    <col min="247" max="247" width="12.875" style="170" customWidth="1"/>
    <col min="248" max="248" width="9.375" style="170" customWidth="1"/>
    <col min="249" max="249" width="10.125" style="170" customWidth="1"/>
    <col min="250" max="250" width="9.375" style="170" customWidth="1"/>
    <col min="251" max="251" width="8.25" style="170" customWidth="1"/>
    <col min="252" max="252" width="9.875" style="170" customWidth="1"/>
    <col min="253" max="253" width="10.625" style="170" customWidth="1"/>
    <col min="254" max="254" width="20.75" style="170" customWidth="1"/>
    <col min="255" max="255" width="28.125" style="170" customWidth="1"/>
    <col min="256" max="256" width="39.25" style="170" bestFit="1" customWidth="1"/>
    <col min="257" max="257" width="10.375" style="170" customWidth="1"/>
    <col min="258" max="258" width="8.25" style="170" customWidth="1"/>
    <col min="259" max="259" width="7.75" style="170" customWidth="1"/>
    <col min="260" max="260" width="17.375" style="170" customWidth="1"/>
    <col min="261" max="261" width="14.75" style="170" customWidth="1"/>
    <col min="262" max="262" width="19.375" style="170" customWidth="1"/>
    <col min="263" max="263" width="18.25" style="170" bestFit="1" customWidth="1"/>
    <col min="264" max="264" width="14" style="170" customWidth="1"/>
    <col min="265" max="265" width="7.75" style="170" customWidth="1"/>
    <col min="266" max="266" width="22.875" style="170" customWidth="1"/>
    <col min="267" max="267" width="14" style="170" customWidth="1"/>
    <col min="268" max="268" width="18.625" style="170" customWidth="1"/>
    <col min="269" max="269" width="17.25" style="170" customWidth="1"/>
    <col min="270" max="270" width="7.75" style="170" customWidth="1"/>
    <col min="271" max="271" width="22.125" style="170" bestFit="1" customWidth="1"/>
    <col min="272" max="272" width="10.375" style="170" customWidth="1"/>
    <col min="273" max="274" width="9" style="170" customWidth="1"/>
    <col min="275" max="275" width="15" style="170" customWidth="1"/>
    <col min="276" max="276" width="30.125" style="170" bestFit="1" customWidth="1"/>
    <col min="277" max="277" width="34.875" style="170" customWidth="1"/>
    <col min="278" max="278" width="19.375" style="170" bestFit="1" customWidth="1"/>
    <col min="279" max="279" width="11.75" style="170" customWidth="1"/>
    <col min="280" max="280" width="7.75" style="170" customWidth="1"/>
    <col min="281" max="281" width="24.125" style="170" customWidth="1"/>
    <col min="282" max="282" width="27.375" style="170" customWidth="1"/>
    <col min="283" max="283" width="7.625" style="170" customWidth="1"/>
    <col min="284" max="284" width="32.25" style="170" customWidth="1"/>
    <col min="285" max="285" width="24.375" style="170" customWidth="1"/>
    <col min="286" max="286" width="9" style="170" customWidth="1"/>
    <col min="287" max="287" width="11" style="170" customWidth="1"/>
    <col min="288" max="288" width="9" style="170" customWidth="1"/>
    <col min="289" max="289" width="29.125" style="170" bestFit="1" customWidth="1"/>
    <col min="290" max="290" width="24.875" style="170" bestFit="1" customWidth="1"/>
    <col min="291" max="293" width="9" style="170" customWidth="1"/>
    <col min="294" max="294" width="29.375" style="170" bestFit="1" customWidth="1"/>
    <col min="295" max="295" width="21.625" style="170" bestFit="1" customWidth="1"/>
    <col min="296" max="298" width="9" style="170" customWidth="1"/>
    <col min="299" max="299" width="26.375" style="170" bestFit="1" customWidth="1"/>
    <col min="300" max="300" width="18.25" style="170" bestFit="1" customWidth="1"/>
    <col min="301" max="301" width="22.875" style="170" bestFit="1" customWidth="1"/>
    <col min="302" max="478" width="8.75" style="170"/>
    <col min="479" max="479" width="4.875" style="170" bestFit="1" customWidth="1"/>
    <col min="480" max="480" width="60.625" style="170" customWidth="1"/>
    <col min="481" max="481" width="11.25" style="170" customWidth="1"/>
    <col min="482" max="488" width="12" style="170" customWidth="1"/>
    <col min="489" max="489" width="9" style="170" customWidth="1"/>
    <col min="490" max="490" width="12" style="170" customWidth="1"/>
    <col min="491" max="491" width="39.25" style="170" bestFit="1" customWidth="1"/>
    <col min="492" max="492" width="9.375" style="170" customWidth="1"/>
    <col min="493" max="493" width="12.875" style="170" customWidth="1"/>
    <col min="494" max="494" width="9.375" style="170" customWidth="1"/>
    <col min="495" max="495" width="10.125" style="170" customWidth="1"/>
    <col min="496" max="496" width="9.375" style="170" customWidth="1"/>
    <col min="497" max="497" width="8.25" style="170" customWidth="1"/>
    <col min="498" max="498" width="9.875" style="170" customWidth="1"/>
    <col min="499" max="499" width="10.625" style="170" bestFit="1" customWidth="1"/>
    <col min="500" max="500" width="28.125" style="170" bestFit="1" customWidth="1"/>
    <col min="501" max="501" width="39.25" style="170" bestFit="1" customWidth="1"/>
    <col min="502" max="502" width="9.375" style="170" customWidth="1"/>
    <col min="503" max="503" width="12.875" style="170" customWidth="1"/>
    <col min="504" max="504" width="9.375" style="170" customWidth="1"/>
    <col min="505" max="505" width="10.125" style="170" customWidth="1"/>
    <col min="506" max="506" width="9.375" style="170" customWidth="1"/>
    <col min="507" max="507" width="8.25" style="170" customWidth="1"/>
    <col min="508" max="508" width="9.875" style="170" customWidth="1"/>
    <col min="509" max="509" width="10.625" style="170" customWidth="1"/>
    <col min="510" max="510" width="20.75" style="170" customWidth="1"/>
    <col min="511" max="511" width="28.125" style="170" customWidth="1"/>
    <col min="512" max="512" width="39.25" style="170" bestFit="1" customWidth="1"/>
    <col min="513" max="513" width="10.375" style="170" customWidth="1"/>
    <col min="514" max="514" width="8.25" style="170" customWidth="1"/>
    <col min="515" max="515" width="7.75" style="170" customWidth="1"/>
    <col min="516" max="516" width="17.375" style="170" customWidth="1"/>
    <col min="517" max="517" width="14.75" style="170" customWidth="1"/>
    <col min="518" max="518" width="19.375" style="170" customWidth="1"/>
    <col min="519" max="519" width="18.25" style="170" bestFit="1" customWidth="1"/>
    <col min="520" max="520" width="14" style="170" customWidth="1"/>
    <col min="521" max="521" width="7.75" style="170" customWidth="1"/>
    <col min="522" max="522" width="22.875" style="170" customWidth="1"/>
    <col min="523" max="523" width="14" style="170" customWidth="1"/>
    <col min="524" max="524" width="18.625" style="170" customWidth="1"/>
    <col min="525" max="525" width="17.25" style="170" customWidth="1"/>
    <col min="526" max="526" width="7.75" style="170" customWidth="1"/>
    <col min="527" max="527" width="22.125" style="170" bestFit="1" customWidth="1"/>
    <col min="528" max="528" width="10.375" style="170" customWidth="1"/>
    <col min="529" max="530" width="9" style="170" customWidth="1"/>
    <col min="531" max="531" width="15" style="170" customWidth="1"/>
    <col min="532" max="532" width="30.125" style="170" bestFit="1" customWidth="1"/>
    <col min="533" max="533" width="34.875" style="170" customWidth="1"/>
    <col min="534" max="534" width="19.375" style="170" bestFit="1" customWidth="1"/>
    <col min="535" max="535" width="11.75" style="170" customWidth="1"/>
    <col min="536" max="536" width="7.75" style="170" customWidth="1"/>
    <col min="537" max="537" width="24.125" style="170" customWidth="1"/>
    <col min="538" max="538" width="27.375" style="170" customWidth="1"/>
    <col min="539" max="539" width="7.625" style="170" customWidth="1"/>
    <col min="540" max="540" width="32.25" style="170" customWidth="1"/>
    <col min="541" max="541" width="24.375" style="170" customWidth="1"/>
    <col min="542" max="542" width="9" style="170" customWidth="1"/>
    <col min="543" max="543" width="11" style="170" customWidth="1"/>
    <col min="544" max="544" width="9" style="170" customWidth="1"/>
    <col min="545" max="545" width="29.125" style="170" bestFit="1" customWidth="1"/>
    <col min="546" max="546" width="24.875" style="170" bestFit="1" customWidth="1"/>
    <col min="547" max="549" width="9" style="170" customWidth="1"/>
    <col min="550" max="550" width="29.375" style="170" bestFit="1" customWidth="1"/>
    <col min="551" max="551" width="21.625" style="170" bestFit="1" customWidth="1"/>
    <col min="552" max="554" width="9" style="170" customWidth="1"/>
    <col min="555" max="555" width="26.375" style="170" bestFit="1" customWidth="1"/>
    <col min="556" max="556" width="18.25" style="170" bestFit="1" customWidth="1"/>
    <col min="557" max="557" width="22.875" style="170" bestFit="1" customWidth="1"/>
    <col min="558" max="734" width="8.75" style="170"/>
    <col min="735" max="735" width="4.875" style="170" bestFit="1" customWidth="1"/>
    <col min="736" max="736" width="60.625" style="170" customWidth="1"/>
    <col min="737" max="737" width="11.25" style="170" customWidth="1"/>
    <col min="738" max="744" width="12" style="170" customWidth="1"/>
    <col min="745" max="745" width="9" style="170" customWidth="1"/>
    <col min="746" max="746" width="12" style="170" customWidth="1"/>
    <col min="747" max="747" width="39.25" style="170" bestFit="1" customWidth="1"/>
    <col min="748" max="748" width="9.375" style="170" customWidth="1"/>
    <col min="749" max="749" width="12.875" style="170" customWidth="1"/>
    <col min="750" max="750" width="9.375" style="170" customWidth="1"/>
    <col min="751" max="751" width="10.125" style="170" customWidth="1"/>
    <col min="752" max="752" width="9.375" style="170" customWidth="1"/>
    <col min="753" max="753" width="8.25" style="170" customWidth="1"/>
    <col min="754" max="754" width="9.875" style="170" customWidth="1"/>
    <col min="755" max="755" width="10.625" style="170" bestFit="1" customWidth="1"/>
    <col min="756" max="756" width="28.125" style="170" bestFit="1" customWidth="1"/>
    <col min="757" max="757" width="39.25" style="170" bestFit="1" customWidth="1"/>
    <col min="758" max="758" width="9.375" style="170" customWidth="1"/>
    <col min="759" max="759" width="12.875" style="170" customWidth="1"/>
    <col min="760" max="760" width="9.375" style="170" customWidth="1"/>
    <col min="761" max="761" width="10.125" style="170" customWidth="1"/>
    <col min="762" max="762" width="9.375" style="170" customWidth="1"/>
    <col min="763" max="763" width="8.25" style="170" customWidth="1"/>
    <col min="764" max="764" width="9.875" style="170" customWidth="1"/>
    <col min="765" max="765" width="10.625" style="170" customWidth="1"/>
    <col min="766" max="766" width="20.75" style="170" customWidth="1"/>
    <col min="767" max="767" width="28.125" style="170" customWidth="1"/>
    <col min="768" max="768" width="39.25" style="170" bestFit="1" customWidth="1"/>
    <col min="769" max="769" width="10.375" style="170" customWidth="1"/>
    <col min="770" max="770" width="8.25" style="170" customWidth="1"/>
    <col min="771" max="771" width="7.75" style="170" customWidth="1"/>
    <col min="772" max="772" width="17.375" style="170" customWidth="1"/>
    <col min="773" max="773" width="14.75" style="170" customWidth="1"/>
    <col min="774" max="774" width="19.375" style="170" customWidth="1"/>
    <col min="775" max="775" width="18.25" style="170" bestFit="1" customWidth="1"/>
    <col min="776" max="776" width="14" style="170" customWidth="1"/>
    <col min="777" max="777" width="7.75" style="170" customWidth="1"/>
    <col min="778" max="778" width="22.875" style="170" customWidth="1"/>
    <col min="779" max="779" width="14" style="170" customWidth="1"/>
    <col min="780" max="780" width="18.625" style="170" customWidth="1"/>
    <col min="781" max="781" width="17.25" style="170" customWidth="1"/>
    <col min="782" max="782" width="7.75" style="170" customWidth="1"/>
    <col min="783" max="783" width="22.125" style="170" bestFit="1" customWidth="1"/>
    <col min="784" max="784" width="10.375" style="170" customWidth="1"/>
    <col min="785" max="786" width="9" style="170" customWidth="1"/>
    <col min="787" max="787" width="15" style="170" customWidth="1"/>
    <col min="788" max="788" width="30.125" style="170" bestFit="1" customWidth="1"/>
    <col min="789" max="789" width="34.875" style="170" customWidth="1"/>
    <col min="790" max="790" width="19.375" style="170" bestFit="1" customWidth="1"/>
    <col min="791" max="791" width="11.75" style="170" customWidth="1"/>
    <col min="792" max="792" width="7.75" style="170" customWidth="1"/>
    <col min="793" max="793" width="24.125" style="170" customWidth="1"/>
    <col min="794" max="794" width="27.375" style="170" customWidth="1"/>
    <col min="795" max="795" width="7.625" style="170" customWidth="1"/>
    <col min="796" max="796" width="32.25" style="170" customWidth="1"/>
    <col min="797" max="797" width="24.375" style="170" customWidth="1"/>
    <col min="798" max="798" width="9" style="170" customWidth="1"/>
    <col min="799" max="799" width="11" style="170" customWidth="1"/>
    <col min="800" max="800" width="9" style="170" customWidth="1"/>
    <col min="801" max="801" width="29.125" style="170" bestFit="1" customWidth="1"/>
    <col min="802" max="802" width="24.875" style="170" bestFit="1" customWidth="1"/>
    <col min="803" max="805" width="9" style="170" customWidth="1"/>
    <col min="806" max="806" width="29.375" style="170" bestFit="1" customWidth="1"/>
    <col min="807" max="807" width="21.625" style="170" bestFit="1" customWidth="1"/>
    <col min="808" max="810" width="9" style="170" customWidth="1"/>
    <col min="811" max="811" width="26.375" style="170" bestFit="1" customWidth="1"/>
    <col min="812" max="812" width="18.25" style="170" bestFit="1" customWidth="1"/>
    <col min="813" max="813" width="22.875" style="170" bestFit="1" customWidth="1"/>
    <col min="814" max="990" width="8.75" style="170"/>
    <col min="991" max="991" width="4.875" style="170" bestFit="1" customWidth="1"/>
    <col min="992" max="992" width="60.625" style="170" customWidth="1"/>
    <col min="993" max="993" width="11.25" style="170" customWidth="1"/>
    <col min="994" max="1000" width="12" style="170" customWidth="1"/>
    <col min="1001" max="1001" width="9" style="170" customWidth="1"/>
    <col min="1002" max="1002" width="12" style="170" customWidth="1"/>
    <col min="1003" max="1003" width="39.25" style="170" bestFit="1" customWidth="1"/>
    <col min="1004" max="1004" width="9.375" style="170" customWidth="1"/>
    <col min="1005" max="1005" width="12.875" style="170" customWidth="1"/>
    <col min="1006" max="1006" width="9.375" style="170" customWidth="1"/>
    <col min="1007" max="1007" width="10.125" style="170" customWidth="1"/>
    <col min="1008" max="1008" width="9.375" style="170" customWidth="1"/>
    <col min="1009" max="1009" width="8.25" style="170" customWidth="1"/>
    <col min="1010" max="1010" width="9.875" style="170" customWidth="1"/>
    <col min="1011" max="1011" width="10.625" style="170" bestFit="1" customWidth="1"/>
    <col min="1012" max="1012" width="28.125" style="170" bestFit="1" customWidth="1"/>
    <col min="1013" max="1013" width="39.25" style="170" bestFit="1" customWidth="1"/>
    <col min="1014" max="1014" width="9.375" style="170" customWidth="1"/>
    <col min="1015" max="1015" width="12.875" style="170" customWidth="1"/>
    <col min="1016" max="1016" width="9.375" style="170" customWidth="1"/>
    <col min="1017" max="1017" width="10.125" style="170" customWidth="1"/>
    <col min="1018" max="1018" width="9.375" style="170" customWidth="1"/>
    <col min="1019" max="1019" width="8.25" style="170" customWidth="1"/>
    <col min="1020" max="1020" width="9.875" style="170" customWidth="1"/>
    <col min="1021" max="1021" width="10.625" style="170" customWidth="1"/>
    <col min="1022" max="1022" width="20.75" style="170" customWidth="1"/>
    <col min="1023" max="1023" width="28.125" style="170" customWidth="1"/>
    <col min="1024" max="1024" width="39.25" style="170" bestFit="1" customWidth="1"/>
    <col min="1025" max="1025" width="10.375" style="170" customWidth="1"/>
    <col min="1026" max="1026" width="8.25" style="170" customWidth="1"/>
    <col min="1027" max="1027" width="7.75" style="170" customWidth="1"/>
    <col min="1028" max="1028" width="17.375" style="170" customWidth="1"/>
    <col min="1029" max="1029" width="14.75" style="170" customWidth="1"/>
    <col min="1030" max="1030" width="19.375" style="170" customWidth="1"/>
    <col min="1031" max="1031" width="18.25" style="170" bestFit="1" customWidth="1"/>
    <col min="1032" max="1032" width="14" style="170" customWidth="1"/>
    <col min="1033" max="1033" width="7.75" style="170" customWidth="1"/>
    <col min="1034" max="1034" width="22.875" style="170" customWidth="1"/>
    <col min="1035" max="1035" width="14" style="170" customWidth="1"/>
    <col min="1036" max="1036" width="18.625" style="170" customWidth="1"/>
    <col min="1037" max="1037" width="17.25" style="170" customWidth="1"/>
    <col min="1038" max="1038" width="7.75" style="170" customWidth="1"/>
    <col min="1039" max="1039" width="22.125" style="170" bestFit="1" customWidth="1"/>
    <col min="1040" max="1040" width="10.375" style="170" customWidth="1"/>
    <col min="1041" max="1042" width="9" style="170" customWidth="1"/>
    <col min="1043" max="1043" width="15" style="170" customWidth="1"/>
    <col min="1044" max="1044" width="30.125" style="170" bestFit="1" customWidth="1"/>
    <col min="1045" max="1045" width="34.875" style="170" customWidth="1"/>
    <col min="1046" max="1046" width="19.375" style="170" bestFit="1" customWidth="1"/>
    <col min="1047" max="1047" width="11.75" style="170" customWidth="1"/>
    <col min="1048" max="1048" width="7.75" style="170" customWidth="1"/>
    <col min="1049" max="1049" width="24.125" style="170" customWidth="1"/>
    <col min="1050" max="1050" width="27.375" style="170" customWidth="1"/>
    <col min="1051" max="1051" width="7.625" style="170" customWidth="1"/>
    <col min="1052" max="1052" width="32.25" style="170" customWidth="1"/>
    <col min="1053" max="1053" width="24.375" style="170" customWidth="1"/>
    <col min="1054" max="1054" width="9" style="170" customWidth="1"/>
    <col min="1055" max="1055" width="11" style="170" customWidth="1"/>
    <col min="1056" max="1056" width="9" style="170" customWidth="1"/>
    <col min="1057" max="1057" width="29.125" style="170" bestFit="1" customWidth="1"/>
    <col min="1058" max="1058" width="24.875" style="170" bestFit="1" customWidth="1"/>
    <col min="1059" max="1061" width="9" style="170" customWidth="1"/>
    <col min="1062" max="1062" width="29.375" style="170" bestFit="1" customWidth="1"/>
    <col min="1063" max="1063" width="21.625" style="170" bestFit="1" customWidth="1"/>
    <col min="1064" max="1066" width="9" style="170" customWidth="1"/>
    <col min="1067" max="1067" width="26.375" style="170" bestFit="1" customWidth="1"/>
    <col min="1068" max="1068" width="18.25" style="170" bestFit="1" customWidth="1"/>
    <col min="1069" max="1069" width="22.875" style="170" bestFit="1" customWidth="1"/>
    <col min="1070" max="1246" width="8.75" style="170"/>
    <col min="1247" max="1247" width="4.875" style="170" bestFit="1" customWidth="1"/>
    <col min="1248" max="1248" width="60.625" style="170" customWidth="1"/>
    <col min="1249" max="1249" width="11.25" style="170" customWidth="1"/>
    <col min="1250" max="1256" width="12" style="170" customWidth="1"/>
    <col min="1257" max="1257" width="9" style="170" customWidth="1"/>
    <col min="1258" max="1258" width="12" style="170" customWidth="1"/>
    <col min="1259" max="1259" width="39.25" style="170" bestFit="1" customWidth="1"/>
    <col min="1260" max="1260" width="9.375" style="170" customWidth="1"/>
    <col min="1261" max="1261" width="12.875" style="170" customWidth="1"/>
    <col min="1262" max="1262" width="9.375" style="170" customWidth="1"/>
    <col min="1263" max="1263" width="10.125" style="170" customWidth="1"/>
    <col min="1264" max="1264" width="9.375" style="170" customWidth="1"/>
    <col min="1265" max="1265" width="8.25" style="170" customWidth="1"/>
    <col min="1266" max="1266" width="9.875" style="170" customWidth="1"/>
    <col min="1267" max="1267" width="10.625" style="170" bestFit="1" customWidth="1"/>
    <col min="1268" max="1268" width="28.125" style="170" bestFit="1" customWidth="1"/>
    <col min="1269" max="1269" width="39.25" style="170" bestFit="1" customWidth="1"/>
    <col min="1270" max="1270" width="9.375" style="170" customWidth="1"/>
    <col min="1271" max="1271" width="12.875" style="170" customWidth="1"/>
    <col min="1272" max="1272" width="9.375" style="170" customWidth="1"/>
    <col min="1273" max="1273" width="10.125" style="170" customWidth="1"/>
    <col min="1274" max="1274" width="9.375" style="170" customWidth="1"/>
    <col min="1275" max="1275" width="8.25" style="170" customWidth="1"/>
    <col min="1276" max="1276" width="9.875" style="170" customWidth="1"/>
    <col min="1277" max="1277" width="10.625" style="170" customWidth="1"/>
    <col min="1278" max="1278" width="20.75" style="170" customWidth="1"/>
    <col min="1279" max="1279" width="28.125" style="170" customWidth="1"/>
    <col min="1280" max="1280" width="39.25" style="170" bestFit="1" customWidth="1"/>
    <col min="1281" max="1281" width="10.375" style="170" customWidth="1"/>
    <col min="1282" max="1282" width="8.25" style="170" customWidth="1"/>
    <col min="1283" max="1283" width="7.75" style="170" customWidth="1"/>
    <col min="1284" max="1284" width="17.375" style="170" customWidth="1"/>
    <col min="1285" max="1285" width="14.75" style="170" customWidth="1"/>
    <col min="1286" max="1286" width="19.375" style="170" customWidth="1"/>
    <col min="1287" max="1287" width="18.25" style="170" bestFit="1" customWidth="1"/>
    <col min="1288" max="1288" width="14" style="170" customWidth="1"/>
    <col min="1289" max="1289" width="7.75" style="170" customWidth="1"/>
    <col min="1290" max="1290" width="22.875" style="170" customWidth="1"/>
    <col min="1291" max="1291" width="14" style="170" customWidth="1"/>
    <col min="1292" max="1292" width="18.625" style="170" customWidth="1"/>
    <col min="1293" max="1293" width="17.25" style="170" customWidth="1"/>
    <col min="1294" max="1294" width="7.75" style="170" customWidth="1"/>
    <col min="1295" max="1295" width="22.125" style="170" bestFit="1" customWidth="1"/>
    <col min="1296" max="1296" width="10.375" style="170" customWidth="1"/>
    <col min="1297" max="1298" width="9" style="170" customWidth="1"/>
    <col min="1299" max="1299" width="15" style="170" customWidth="1"/>
    <col min="1300" max="1300" width="30.125" style="170" bestFit="1" customWidth="1"/>
    <col min="1301" max="1301" width="34.875" style="170" customWidth="1"/>
    <col min="1302" max="1302" width="19.375" style="170" bestFit="1" customWidth="1"/>
    <col min="1303" max="1303" width="11.75" style="170" customWidth="1"/>
    <col min="1304" max="1304" width="7.75" style="170" customWidth="1"/>
    <col min="1305" max="1305" width="24.125" style="170" customWidth="1"/>
    <col min="1306" max="1306" width="27.375" style="170" customWidth="1"/>
    <col min="1307" max="1307" width="7.625" style="170" customWidth="1"/>
    <col min="1308" max="1308" width="32.25" style="170" customWidth="1"/>
    <col min="1309" max="1309" width="24.375" style="170" customWidth="1"/>
    <col min="1310" max="1310" width="9" style="170" customWidth="1"/>
    <col min="1311" max="1311" width="11" style="170" customWidth="1"/>
    <col min="1312" max="1312" width="9" style="170" customWidth="1"/>
    <col min="1313" max="1313" width="29.125" style="170" bestFit="1" customWidth="1"/>
    <col min="1314" max="1314" width="24.875" style="170" bestFit="1" customWidth="1"/>
    <col min="1315" max="1317" width="9" style="170" customWidth="1"/>
    <col min="1318" max="1318" width="29.375" style="170" bestFit="1" customWidth="1"/>
    <col min="1319" max="1319" width="21.625" style="170" bestFit="1" customWidth="1"/>
    <col min="1320" max="1322" width="9" style="170" customWidth="1"/>
    <col min="1323" max="1323" width="26.375" style="170" bestFit="1" customWidth="1"/>
    <col min="1324" max="1324" width="18.25" style="170" bestFit="1" customWidth="1"/>
    <col min="1325" max="1325" width="22.875" style="170" bestFit="1" customWidth="1"/>
    <col min="1326" max="1502" width="8.75" style="170"/>
    <col min="1503" max="1503" width="4.875" style="170" bestFit="1" customWidth="1"/>
    <col min="1504" max="1504" width="60.625" style="170" customWidth="1"/>
    <col min="1505" max="1505" width="11.25" style="170" customWidth="1"/>
    <col min="1506" max="1512" width="12" style="170" customWidth="1"/>
    <col min="1513" max="1513" width="9" style="170" customWidth="1"/>
    <col min="1514" max="1514" width="12" style="170" customWidth="1"/>
    <col min="1515" max="1515" width="39.25" style="170" bestFit="1" customWidth="1"/>
    <col min="1516" max="1516" width="9.375" style="170" customWidth="1"/>
    <col min="1517" max="1517" width="12.875" style="170" customWidth="1"/>
    <col min="1518" max="1518" width="9.375" style="170" customWidth="1"/>
    <col min="1519" max="1519" width="10.125" style="170" customWidth="1"/>
    <col min="1520" max="1520" width="9.375" style="170" customWidth="1"/>
    <col min="1521" max="1521" width="8.25" style="170" customWidth="1"/>
    <col min="1522" max="1522" width="9.875" style="170" customWidth="1"/>
    <col min="1523" max="1523" width="10.625" style="170" bestFit="1" customWidth="1"/>
    <col min="1524" max="1524" width="28.125" style="170" bestFit="1" customWidth="1"/>
    <col min="1525" max="1525" width="39.25" style="170" bestFit="1" customWidth="1"/>
    <col min="1526" max="1526" width="9.375" style="170" customWidth="1"/>
    <col min="1527" max="1527" width="12.875" style="170" customWidth="1"/>
    <col min="1528" max="1528" width="9.375" style="170" customWidth="1"/>
    <col min="1529" max="1529" width="10.125" style="170" customWidth="1"/>
    <col min="1530" max="1530" width="9.375" style="170" customWidth="1"/>
    <col min="1531" max="1531" width="8.25" style="170" customWidth="1"/>
    <col min="1532" max="1532" width="9.875" style="170" customWidth="1"/>
    <col min="1533" max="1533" width="10.625" style="170" customWidth="1"/>
    <col min="1534" max="1534" width="20.75" style="170" customWidth="1"/>
    <col min="1535" max="1535" width="28.125" style="170" customWidth="1"/>
    <col min="1536" max="1536" width="39.25" style="170" bestFit="1" customWidth="1"/>
    <col min="1537" max="1537" width="10.375" style="170" customWidth="1"/>
    <col min="1538" max="1538" width="8.25" style="170" customWidth="1"/>
    <col min="1539" max="1539" width="7.75" style="170" customWidth="1"/>
    <col min="1540" max="1540" width="17.375" style="170" customWidth="1"/>
    <col min="1541" max="1541" width="14.75" style="170" customWidth="1"/>
    <col min="1542" max="1542" width="19.375" style="170" customWidth="1"/>
    <col min="1543" max="1543" width="18.25" style="170" bestFit="1" customWidth="1"/>
    <col min="1544" max="1544" width="14" style="170" customWidth="1"/>
    <col min="1545" max="1545" width="7.75" style="170" customWidth="1"/>
    <col min="1546" max="1546" width="22.875" style="170" customWidth="1"/>
    <col min="1547" max="1547" width="14" style="170" customWidth="1"/>
    <col min="1548" max="1548" width="18.625" style="170" customWidth="1"/>
    <col min="1549" max="1549" width="17.25" style="170" customWidth="1"/>
    <col min="1550" max="1550" width="7.75" style="170" customWidth="1"/>
    <col min="1551" max="1551" width="22.125" style="170" bestFit="1" customWidth="1"/>
    <col min="1552" max="1552" width="10.375" style="170" customWidth="1"/>
    <col min="1553" max="1554" width="9" style="170" customWidth="1"/>
    <col min="1555" max="1555" width="15" style="170" customWidth="1"/>
    <col min="1556" max="1556" width="30.125" style="170" bestFit="1" customWidth="1"/>
    <col min="1557" max="1557" width="34.875" style="170" customWidth="1"/>
    <col min="1558" max="1558" width="19.375" style="170" bestFit="1" customWidth="1"/>
    <col min="1559" max="1559" width="11.75" style="170" customWidth="1"/>
    <col min="1560" max="1560" width="7.75" style="170" customWidth="1"/>
    <col min="1561" max="1561" width="24.125" style="170" customWidth="1"/>
    <col min="1562" max="1562" width="27.375" style="170" customWidth="1"/>
    <col min="1563" max="1563" width="7.625" style="170" customWidth="1"/>
    <col min="1564" max="1564" width="32.25" style="170" customWidth="1"/>
    <col min="1565" max="1565" width="24.375" style="170" customWidth="1"/>
    <col min="1566" max="1566" width="9" style="170" customWidth="1"/>
    <col min="1567" max="1567" width="11" style="170" customWidth="1"/>
    <col min="1568" max="1568" width="9" style="170" customWidth="1"/>
    <col min="1569" max="1569" width="29.125" style="170" bestFit="1" customWidth="1"/>
    <col min="1570" max="1570" width="24.875" style="170" bestFit="1" customWidth="1"/>
    <col min="1571" max="1573" width="9" style="170" customWidth="1"/>
    <col min="1574" max="1574" width="29.375" style="170" bestFit="1" customWidth="1"/>
    <col min="1575" max="1575" width="21.625" style="170" bestFit="1" customWidth="1"/>
    <col min="1576" max="1578" width="9" style="170" customWidth="1"/>
    <col min="1579" max="1579" width="26.375" style="170" bestFit="1" customWidth="1"/>
    <col min="1580" max="1580" width="18.25" style="170" bestFit="1" customWidth="1"/>
    <col min="1581" max="1581" width="22.875" style="170" bestFit="1" customWidth="1"/>
    <col min="1582" max="1758" width="8.75" style="170"/>
    <col min="1759" max="1759" width="4.875" style="170" bestFit="1" customWidth="1"/>
    <col min="1760" max="1760" width="60.625" style="170" customWidth="1"/>
    <col min="1761" max="1761" width="11.25" style="170" customWidth="1"/>
    <col min="1762" max="1768" width="12" style="170" customWidth="1"/>
    <col min="1769" max="1769" width="9" style="170" customWidth="1"/>
    <col min="1770" max="1770" width="12" style="170" customWidth="1"/>
    <col min="1771" max="1771" width="39.25" style="170" bestFit="1" customWidth="1"/>
    <col min="1772" max="1772" width="9.375" style="170" customWidth="1"/>
    <col min="1773" max="1773" width="12.875" style="170" customWidth="1"/>
    <col min="1774" max="1774" width="9.375" style="170" customWidth="1"/>
    <col min="1775" max="1775" width="10.125" style="170" customWidth="1"/>
    <col min="1776" max="1776" width="9.375" style="170" customWidth="1"/>
    <col min="1777" max="1777" width="8.25" style="170" customWidth="1"/>
    <col min="1778" max="1778" width="9.875" style="170" customWidth="1"/>
    <col min="1779" max="1779" width="10.625" style="170" bestFit="1" customWidth="1"/>
    <col min="1780" max="1780" width="28.125" style="170" bestFit="1" customWidth="1"/>
    <col min="1781" max="1781" width="39.25" style="170" bestFit="1" customWidth="1"/>
    <col min="1782" max="1782" width="9.375" style="170" customWidth="1"/>
    <col min="1783" max="1783" width="12.875" style="170" customWidth="1"/>
    <col min="1784" max="1784" width="9.375" style="170" customWidth="1"/>
    <col min="1785" max="1785" width="10.125" style="170" customWidth="1"/>
    <col min="1786" max="1786" width="9.375" style="170" customWidth="1"/>
    <col min="1787" max="1787" width="8.25" style="170" customWidth="1"/>
    <col min="1788" max="1788" width="9.875" style="170" customWidth="1"/>
    <col min="1789" max="1789" width="10.625" style="170" customWidth="1"/>
    <col min="1790" max="1790" width="20.75" style="170" customWidth="1"/>
    <col min="1791" max="1791" width="28.125" style="170" customWidth="1"/>
    <col min="1792" max="1792" width="39.25" style="170" bestFit="1" customWidth="1"/>
    <col min="1793" max="1793" width="10.375" style="170" customWidth="1"/>
    <col min="1794" max="1794" width="8.25" style="170" customWidth="1"/>
    <col min="1795" max="1795" width="7.75" style="170" customWidth="1"/>
    <col min="1796" max="1796" width="17.375" style="170" customWidth="1"/>
    <col min="1797" max="1797" width="14.75" style="170" customWidth="1"/>
    <col min="1798" max="1798" width="19.375" style="170" customWidth="1"/>
    <col min="1799" max="1799" width="18.25" style="170" bestFit="1" customWidth="1"/>
    <col min="1800" max="1800" width="14" style="170" customWidth="1"/>
    <col min="1801" max="1801" width="7.75" style="170" customWidth="1"/>
    <col min="1802" max="1802" width="22.875" style="170" customWidth="1"/>
    <col min="1803" max="1803" width="14" style="170" customWidth="1"/>
    <col min="1804" max="1804" width="18.625" style="170" customWidth="1"/>
    <col min="1805" max="1805" width="17.25" style="170" customWidth="1"/>
    <col min="1806" max="1806" width="7.75" style="170" customWidth="1"/>
    <col min="1807" max="1807" width="22.125" style="170" bestFit="1" customWidth="1"/>
    <col min="1808" max="1808" width="10.375" style="170" customWidth="1"/>
    <col min="1809" max="1810" width="9" style="170" customWidth="1"/>
    <col min="1811" max="1811" width="15" style="170" customWidth="1"/>
    <col min="1812" max="1812" width="30.125" style="170" bestFit="1" customWidth="1"/>
    <col min="1813" max="1813" width="34.875" style="170" customWidth="1"/>
    <col min="1814" max="1814" width="19.375" style="170" bestFit="1" customWidth="1"/>
    <col min="1815" max="1815" width="11.75" style="170" customWidth="1"/>
    <col min="1816" max="1816" width="7.75" style="170" customWidth="1"/>
    <col min="1817" max="1817" width="24.125" style="170" customWidth="1"/>
    <col min="1818" max="1818" width="27.375" style="170" customWidth="1"/>
    <col min="1819" max="1819" width="7.625" style="170" customWidth="1"/>
    <col min="1820" max="1820" width="32.25" style="170" customWidth="1"/>
    <col min="1821" max="1821" width="24.375" style="170" customWidth="1"/>
    <col min="1822" max="1822" width="9" style="170" customWidth="1"/>
    <col min="1823" max="1823" width="11" style="170" customWidth="1"/>
    <col min="1824" max="1824" width="9" style="170" customWidth="1"/>
    <col min="1825" max="1825" width="29.125" style="170" bestFit="1" customWidth="1"/>
    <col min="1826" max="1826" width="24.875" style="170" bestFit="1" customWidth="1"/>
    <col min="1827" max="1829" width="9" style="170" customWidth="1"/>
    <col min="1830" max="1830" width="29.375" style="170" bestFit="1" customWidth="1"/>
    <col min="1831" max="1831" width="21.625" style="170" bestFit="1" customWidth="1"/>
    <col min="1832" max="1834" width="9" style="170" customWidth="1"/>
    <col min="1835" max="1835" width="26.375" style="170" bestFit="1" customWidth="1"/>
    <col min="1836" max="1836" width="18.25" style="170" bestFit="1" customWidth="1"/>
    <col min="1837" max="1837" width="22.875" style="170" bestFit="1" customWidth="1"/>
    <col min="1838" max="2014" width="8.75" style="170"/>
    <col min="2015" max="2015" width="4.875" style="170" bestFit="1" customWidth="1"/>
    <col min="2016" max="2016" width="60.625" style="170" customWidth="1"/>
    <col min="2017" max="2017" width="11.25" style="170" customWidth="1"/>
    <col min="2018" max="2024" width="12" style="170" customWidth="1"/>
    <col min="2025" max="2025" width="9" style="170" customWidth="1"/>
    <col min="2026" max="2026" width="12" style="170" customWidth="1"/>
    <col min="2027" max="2027" width="39.25" style="170" bestFit="1" customWidth="1"/>
    <col min="2028" max="2028" width="9.375" style="170" customWidth="1"/>
    <col min="2029" max="2029" width="12.875" style="170" customWidth="1"/>
    <col min="2030" max="2030" width="9.375" style="170" customWidth="1"/>
    <col min="2031" max="2031" width="10.125" style="170" customWidth="1"/>
    <col min="2032" max="2032" width="9.375" style="170" customWidth="1"/>
    <col min="2033" max="2033" width="8.25" style="170" customWidth="1"/>
    <col min="2034" max="2034" width="9.875" style="170" customWidth="1"/>
    <col min="2035" max="2035" width="10.625" style="170" bestFit="1" customWidth="1"/>
    <col min="2036" max="2036" width="28.125" style="170" bestFit="1" customWidth="1"/>
    <col min="2037" max="2037" width="39.25" style="170" bestFit="1" customWidth="1"/>
    <col min="2038" max="2038" width="9.375" style="170" customWidth="1"/>
    <col min="2039" max="2039" width="12.875" style="170" customWidth="1"/>
    <col min="2040" max="2040" width="9.375" style="170" customWidth="1"/>
    <col min="2041" max="2041" width="10.125" style="170" customWidth="1"/>
    <col min="2042" max="2042" width="9.375" style="170" customWidth="1"/>
    <col min="2043" max="2043" width="8.25" style="170" customWidth="1"/>
    <col min="2044" max="2044" width="9.875" style="170" customWidth="1"/>
    <col min="2045" max="2045" width="10.625" style="170" customWidth="1"/>
    <col min="2046" max="2046" width="20.75" style="170" customWidth="1"/>
    <col min="2047" max="2047" width="28.125" style="170" customWidth="1"/>
    <col min="2048" max="2048" width="39.25" style="170" bestFit="1" customWidth="1"/>
    <col min="2049" max="2049" width="10.375" style="170" customWidth="1"/>
    <col min="2050" max="2050" width="8.25" style="170" customWidth="1"/>
    <col min="2051" max="2051" width="7.75" style="170" customWidth="1"/>
    <col min="2052" max="2052" width="17.375" style="170" customWidth="1"/>
    <col min="2053" max="2053" width="14.75" style="170" customWidth="1"/>
    <col min="2054" max="2054" width="19.375" style="170" customWidth="1"/>
    <col min="2055" max="2055" width="18.25" style="170" bestFit="1" customWidth="1"/>
    <col min="2056" max="2056" width="14" style="170" customWidth="1"/>
    <col min="2057" max="2057" width="7.75" style="170" customWidth="1"/>
    <col min="2058" max="2058" width="22.875" style="170" customWidth="1"/>
    <col min="2059" max="2059" width="14" style="170" customWidth="1"/>
    <col min="2060" max="2060" width="18.625" style="170" customWidth="1"/>
    <col min="2061" max="2061" width="17.25" style="170" customWidth="1"/>
    <col min="2062" max="2062" width="7.75" style="170" customWidth="1"/>
    <col min="2063" max="2063" width="22.125" style="170" bestFit="1" customWidth="1"/>
    <col min="2064" max="2064" width="10.375" style="170" customWidth="1"/>
    <col min="2065" max="2066" width="9" style="170" customWidth="1"/>
    <col min="2067" max="2067" width="15" style="170" customWidth="1"/>
    <col min="2068" max="2068" width="30.125" style="170" bestFit="1" customWidth="1"/>
    <col min="2069" max="2069" width="34.875" style="170" customWidth="1"/>
    <col min="2070" max="2070" width="19.375" style="170" bestFit="1" customWidth="1"/>
    <col min="2071" max="2071" width="11.75" style="170" customWidth="1"/>
    <col min="2072" max="2072" width="7.75" style="170" customWidth="1"/>
    <col min="2073" max="2073" width="24.125" style="170" customWidth="1"/>
    <col min="2074" max="2074" width="27.375" style="170" customWidth="1"/>
    <col min="2075" max="2075" width="7.625" style="170" customWidth="1"/>
    <col min="2076" max="2076" width="32.25" style="170" customWidth="1"/>
    <col min="2077" max="2077" width="24.375" style="170" customWidth="1"/>
    <col min="2078" max="2078" width="9" style="170" customWidth="1"/>
    <col min="2079" max="2079" width="11" style="170" customWidth="1"/>
    <col min="2080" max="2080" width="9" style="170" customWidth="1"/>
    <col min="2081" max="2081" width="29.125" style="170" bestFit="1" customWidth="1"/>
    <col min="2082" max="2082" width="24.875" style="170" bestFit="1" customWidth="1"/>
    <col min="2083" max="2085" width="9" style="170" customWidth="1"/>
    <col min="2086" max="2086" width="29.375" style="170" bestFit="1" customWidth="1"/>
    <col min="2087" max="2087" width="21.625" style="170" bestFit="1" customWidth="1"/>
    <col min="2088" max="2090" width="9" style="170" customWidth="1"/>
    <col min="2091" max="2091" width="26.375" style="170" bestFit="1" customWidth="1"/>
    <col min="2092" max="2092" width="18.25" style="170" bestFit="1" customWidth="1"/>
    <col min="2093" max="2093" width="22.875" style="170" bestFit="1" customWidth="1"/>
    <col min="2094" max="2270" width="8.75" style="170"/>
    <col min="2271" max="2271" width="4.875" style="170" bestFit="1" customWidth="1"/>
    <col min="2272" max="2272" width="60.625" style="170" customWidth="1"/>
    <col min="2273" max="2273" width="11.25" style="170" customWidth="1"/>
    <col min="2274" max="2280" width="12" style="170" customWidth="1"/>
    <col min="2281" max="2281" width="9" style="170" customWidth="1"/>
    <col min="2282" max="2282" width="12" style="170" customWidth="1"/>
    <col min="2283" max="2283" width="39.25" style="170" bestFit="1" customWidth="1"/>
    <col min="2284" max="2284" width="9.375" style="170" customWidth="1"/>
    <col min="2285" max="2285" width="12.875" style="170" customWidth="1"/>
    <col min="2286" max="2286" width="9.375" style="170" customWidth="1"/>
    <col min="2287" max="2287" width="10.125" style="170" customWidth="1"/>
    <col min="2288" max="2288" width="9.375" style="170" customWidth="1"/>
    <col min="2289" max="2289" width="8.25" style="170" customWidth="1"/>
    <col min="2290" max="2290" width="9.875" style="170" customWidth="1"/>
    <col min="2291" max="2291" width="10.625" style="170" bestFit="1" customWidth="1"/>
    <col min="2292" max="2292" width="28.125" style="170" bestFit="1" customWidth="1"/>
    <col min="2293" max="2293" width="39.25" style="170" bestFit="1" customWidth="1"/>
    <col min="2294" max="2294" width="9.375" style="170" customWidth="1"/>
    <col min="2295" max="2295" width="12.875" style="170" customWidth="1"/>
    <col min="2296" max="2296" width="9.375" style="170" customWidth="1"/>
    <col min="2297" max="2297" width="10.125" style="170" customWidth="1"/>
    <col min="2298" max="2298" width="9.375" style="170" customWidth="1"/>
    <col min="2299" max="2299" width="8.25" style="170" customWidth="1"/>
    <col min="2300" max="2300" width="9.875" style="170" customWidth="1"/>
    <col min="2301" max="2301" width="10.625" style="170" customWidth="1"/>
    <col min="2302" max="2302" width="20.75" style="170" customWidth="1"/>
    <col min="2303" max="2303" width="28.125" style="170" customWidth="1"/>
    <col min="2304" max="2304" width="39.25" style="170" bestFit="1" customWidth="1"/>
    <col min="2305" max="2305" width="10.375" style="170" customWidth="1"/>
    <col min="2306" max="2306" width="8.25" style="170" customWidth="1"/>
    <col min="2307" max="2307" width="7.75" style="170" customWidth="1"/>
    <col min="2308" max="2308" width="17.375" style="170" customWidth="1"/>
    <col min="2309" max="2309" width="14.75" style="170" customWidth="1"/>
    <col min="2310" max="2310" width="19.375" style="170" customWidth="1"/>
    <col min="2311" max="2311" width="18.25" style="170" bestFit="1" customWidth="1"/>
    <col min="2312" max="2312" width="14" style="170" customWidth="1"/>
    <col min="2313" max="2313" width="7.75" style="170" customWidth="1"/>
    <col min="2314" max="2314" width="22.875" style="170" customWidth="1"/>
    <col min="2315" max="2315" width="14" style="170" customWidth="1"/>
    <col min="2316" max="2316" width="18.625" style="170" customWidth="1"/>
    <col min="2317" max="2317" width="17.25" style="170" customWidth="1"/>
    <col min="2318" max="2318" width="7.75" style="170" customWidth="1"/>
    <col min="2319" max="2319" width="22.125" style="170" bestFit="1" customWidth="1"/>
    <col min="2320" max="2320" width="10.375" style="170" customWidth="1"/>
    <col min="2321" max="2322" width="9" style="170" customWidth="1"/>
    <col min="2323" max="2323" width="15" style="170" customWidth="1"/>
    <col min="2324" max="2324" width="30.125" style="170" bestFit="1" customWidth="1"/>
    <col min="2325" max="2325" width="34.875" style="170" customWidth="1"/>
    <col min="2326" max="2326" width="19.375" style="170" bestFit="1" customWidth="1"/>
    <col min="2327" max="2327" width="11.75" style="170" customWidth="1"/>
    <col min="2328" max="2328" width="7.75" style="170" customWidth="1"/>
    <col min="2329" max="2329" width="24.125" style="170" customWidth="1"/>
    <col min="2330" max="2330" width="27.375" style="170" customWidth="1"/>
    <col min="2331" max="2331" width="7.625" style="170" customWidth="1"/>
    <col min="2332" max="2332" width="32.25" style="170" customWidth="1"/>
    <col min="2333" max="2333" width="24.375" style="170" customWidth="1"/>
    <col min="2334" max="2334" width="9" style="170" customWidth="1"/>
    <col min="2335" max="2335" width="11" style="170" customWidth="1"/>
    <col min="2336" max="2336" width="9" style="170" customWidth="1"/>
    <col min="2337" max="2337" width="29.125" style="170" bestFit="1" customWidth="1"/>
    <col min="2338" max="2338" width="24.875" style="170" bestFit="1" customWidth="1"/>
    <col min="2339" max="2341" width="9" style="170" customWidth="1"/>
    <col min="2342" max="2342" width="29.375" style="170" bestFit="1" customWidth="1"/>
    <col min="2343" max="2343" width="21.625" style="170" bestFit="1" customWidth="1"/>
    <col min="2344" max="2346" width="9" style="170" customWidth="1"/>
    <col min="2347" max="2347" width="26.375" style="170" bestFit="1" customWidth="1"/>
    <col min="2348" max="2348" width="18.25" style="170" bestFit="1" customWidth="1"/>
    <col min="2349" max="2349" width="22.875" style="170" bestFit="1" customWidth="1"/>
    <col min="2350" max="2526" width="8.75" style="170"/>
    <col min="2527" max="2527" width="4.875" style="170" bestFit="1" customWidth="1"/>
    <col min="2528" max="2528" width="60.625" style="170" customWidth="1"/>
    <col min="2529" max="2529" width="11.25" style="170" customWidth="1"/>
    <col min="2530" max="2536" width="12" style="170" customWidth="1"/>
    <col min="2537" max="2537" width="9" style="170" customWidth="1"/>
    <col min="2538" max="2538" width="12" style="170" customWidth="1"/>
    <col min="2539" max="2539" width="39.25" style="170" bestFit="1" customWidth="1"/>
    <col min="2540" max="2540" width="9.375" style="170" customWidth="1"/>
    <col min="2541" max="2541" width="12.875" style="170" customWidth="1"/>
    <col min="2542" max="2542" width="9.375" style="170" customWidth="1"/>
    <col min="2543" max="2543" width="10.125" style="170" customWidth="1"/>
    <col min="2544" max="2544" width="9.375" style="170" customWidth="1"/>
    <col min="2545" max="2545" width="8.25" style="170" customWidth="1"/>
    <col min="2546" max="2546" width="9.875" style="170" customWidth="1"/>
    <col min="2547" max="2547" width="10.625" style="170" bestFit="1" customWidth="1"/>
    <col min="2548" max="2548" width="28.125" style="170" bestFit="1" customWidth="1"/>
    <col min="2549" max="2549" width="39.25" style="170" bestFit="1" customWidth="1"/>
    <col min="2550" max="2550" width="9.375" style="170" customWidth="1"/>
    <col min="2551" max="2551" width="12.875" style="170" customWidth="1"/>
    <col min="2552" max="2552" width="9.375" style="170" customWidth="1"/>
    <col min="2553" max="2553" width="10.125" style="170" customWidth="1"/>
    <col min="2554" max="2554" width="9.375" style="170" customWidth="1"/>
    <col min="2555" max="2555" width="8.25" style="170" customWidth="1"/>
    <col min="2556" max="2556" width="9.875" style="170" customWidth="1"/>
    <col min="2557" max="2557" width="10.625" style="170" customWidth="1"/>
    <col min="2558" max="2558" width="20.75" style="170" customWidth="1"/>
    <col min="2559" max="2559" width="28.125" style="170" customWidth="1"/>
    <col min="2560" max="2560" width="39.25" style="170" bestFit="1" customWidth="1"/>
    <col min="2561" max="2561" width="10.375" style="170" customWidth="1"/>
    <col min="2562" max="2562" width="8.25" style="170" customWidth="1"/>
    <col min="2563" max="2563" width="7.75" style="170" customWidth="1"/>
    <col min="2564" max="2564" width="17.375" style="170" customWidth="1"/>
    <col min="2565" max="2565" width="14.75" style="170" customWidth="1"/>
    <col min="2566" max="2566" width="19.375" style="170" customWidth="1"/>
    <col min="2567" max="2567" width="18.25" style="170" bestFit="1" customWidth="1"/>
    <col min="2568" max="2568" width="14" style="170" customWidth="1"/>
    <col min="2569" max="2569" width="7.75" style="170" customWidth="1"/>
    <col min="2570" max="2570" width="22.875" style="170" customWidth="1"/>
    <col min="2571" max="2571" width="14" style="170" customWidth="1"/>
    <col min="2572" max="2572" width="18.625" style="170" customWidth="1"/>
    <col min="2573" max="2573" width="17.25" style="170" customWidth="1"/>
    <col min="2574" max="2574" width="7.75" style="170" customWidth="1"/>
    <col min="2575" max="2575" width="22.125" style="170" bestFit="1" customWidth="1"/>
    <col min="2576" max="2576" width="10.375" style="170" customWidth="1"/>
    <col min="2577" max="2578" width="9" style="170" customWidth="1"/>
    <col min="2579" max="2579" width="15" style="170" customWidth="1"/>
    <col min="2580" max="2580" width="30.125" style="170" bestFit="1" customWidth="1"/>
    <col min="2581" max="2581" width="34.875" style="170" customWidth="1"/>
    <col min="2582" max="2582" width="19.375" style="170" bestFit="1" customWidth="1"/>
    <col min="2583" max="2583" width="11.75" style="170" customWidth="1"/>
    <col min="2584" max="2584" width="7.75" style="170" customWidth="1"/>
    <col min="2585" max="2585" width="24.125" style="170" customWidth="1"/>
    <col min="2586" max="2586" width="27.375" style="170" customWidth="1"/>
    <col min="2587" max="2587" width="7.625" style="170" customWidth="1"/>
    <col min="2588" max="2588" width="32.25" style="170" customWidth="1"/>
    <col min="2589" max="2589" width="24.375" style="170" customWidth="1"/>
    <col min="2590" max="2590" width="9" style="170" customWidth="1"/>
    <col min="2591" max="2591" width="11" style="170" customWidth="1"/>
    <col min="2592" max="2592" width="9" style="170" customWidth="1"/>
    <col min="2593" max="2593" width="29.125" style="170" bestFit="1" customWidth="1"/>
    <col min="2594" max="2594" width="24.875" style="170" bestFit="1" customWidth="1"/>
    <col min="2595" max="2597" width="9" style="170" customWidth="1"/>
    <col min="2598" max="2598" width="29.375" style="170" bestFit="1" customWidth="1"/>
    <col min="2599" max="2599" width="21.625" style="170" bestFit="1" customWidth="1"/>
    <col min="2600" max="2602" width="9" style="170" customWidth="1"/>
    <col min="2603" max="2603" width="26.375" style="170" bestFit="1" customWidth="1"/>
    <col min="2604" max="2604" width="18.25" style="170" bestFit="1" customWidth="1"/>
    <col min="2605" max="2605" width="22.875" style="170" bestFit="1" customWidth="1"/>
    <col min="2606" max="2782" width="8.75" style="170"/>
    <col min="2783" max="2783" width="4.875" style="170" bestFit="1" customWidth="1"/>
    <col min="2784" max="2784" width="60.625" style="170" customWidth="1"/>
    <col min="2785" max="2785" width="11.25" style="170" customWidth="1"/>
    <col min="2786" max="2792" width="12" style="170" customWidth="1"/>
    <col min="2793" max="2793" width="9" style="170" customWidth="1"/>
    <col min="2794" max="2794" width="12" style="170" customWidth="1"/>
    <col min="2795" max="2795" width="39.25" style="170" bestFit="1" customWidth="1"/>
    <col min="2796" max="2796" width="9.375" style="170" customWidth="1"/>
    <col min="2797" max="2797" width="12.875" style="170" customWidth="1"/>
    <col min="2798" max="2798" width="9.375" style="170" customWidth="1"/>
    <col min="2799" max="2799" width="10.125" style="170" customWidth="1"/>
    <col min="2800" max="2800" width="9.375" style="170" customWidth="1"/>
    <col min="2801" max="2801" width="8.25" style="170" customWidth="1"/>
    <col min="2802" max="2802" width="9.875" style="170" customWidth="1"/>
    <col min="2803" max="2803" width="10.625" style="170" bestFit="1" customWidth="1"/>
    <col min="2804" max="2804" width="28.125" style="170" bestFit="1" customWidth="1"/>
    <col min="2805" max="2805" width="39.25" style="170" bestFit="1" customWidth="1"/>
    <col min="2806" max="2806" width="9.375" style="170" customWidth="1"/>
    <col min="2807" max="2807" width="12.875" style="170" customWidth="1"/>
    <col min="2808" max="2808" width="9.375" style="170" customWidth="1"/>
    <col min="2809" max="2809" width="10.125" style="170" customWidth="1"/>
    <col min="2810" max="2810" width="9.375" style="170" customWidth="1"/>
    <col min="2811" max="2811" width="8.25" style="170" customWidth="1"/>
    <col min="2812" max="2812" width="9.875" style="170" customWidth="1"/>
    <col min="2813" max="2813" width="10.625" style="170" customWidth="1"/>
    <col min="2814" max="2814" width="20.75" style="170" customWidth="1"/>
    <col min="2815" max="2815" width="28.125" style="170" customWidth="1"/>
    <col min="2816" max="2816" width="39.25" style="170" bestFit="1" customWidth="1"/>
    <col min="2817" max="2817" width="10.375" style="170" customWidth="1"/>
    <col min="2818" max="2818" width="8.25" style="170" customWidth="1"/>
    <col min="2819" max="2819" width="7.75" style="170" customWidth="1"/>
    <col min="2820" max="2820" width="17.375" style="170" customWidth="1"/>
    <col min="2821" max="2821" width="14.75" style="170" customWidth="1"/>
    <col min="2822" max="2822" width="19.375" style="170" customWidth="1"/>
    <col min="2823" max="2823" width="18.25" style="170" bestFit="1" customWidth="1"/>
    <col min="2824" max="2824" width="14" style="170" customWidth="1"/>
    <col min="2825" max="2825" width="7.75" style="170" customWidth="1"/>
    <col min="2826" max="2826" width="22.875" style="170" customWidth="1"/>
    <col min="2827" max="2827" width="14" style="170" customWidth="1"/>
    <col min="2828" max="2828" width="18.625" style="170" customWidth="1"/>
    <col min="2829" max="2829" width="17.25" style="170" customWidth="1"/>
    <col min="2830" max="2830" width="7.75" style="170" customWidth="1"/>
    <col min="2831" max="2831" width="22.125" style="170" bestFit="1" customWidth="1"/>
    <col min="2832" max="2832" width="10.375" style="170" customWidth="1"/>
    <col min="2833" max="2834" width="9" style="170" customWidth="1"/>
    <col min="2835" max="2835" width="15" style="170" customWidth="1"/>
    <col min="2836" max="2836" width="30.125" style="170" bestFit="1" customWidth="1"/>
    <col min="2837" max="2837" width="34.875" style="170" customWidth="1"/>
    <col min="2838" max="2838" width="19.375" style="170" bestFit="1" customWidth="1"/>
    <col min="2839" max="2839" width="11.75" style="170" customWidth="1"/>
    <col min="2840" max="2840" width="7.75" style="170" customWidth="1"/>
    <col min="2841" max="2841" width="24.125" style="170" customWidth="1"/>
    <col min="2842" max="2842" width="27.375" style="170" customWidth="1"/>
    <col min="2843" max="2843" width="7.625" style="170" customWidth="1"/>
    <col min="2844" max="2844" width="32.25" style="170" customWidth="1"/>
    <col min="2845" max="2845" width="24.375" style="170" customWidth="1"/>
    <col min="2846" max="2846" width="9" style="170" customWidth="1"/>
    <col min="2847" max="2847" width="11" style="170" customWidth="1"/>
    <col min="2848" max="2848" width="9" style="170" customWidth="1"/>
    <col min="2849" max="2849" width="29.125" style="170" bestFit="1" customWidth="1"/>
    <col min="2850" max="2850" width="24.875" style="170" bestFit="1" customWidth="1"/>
    <col min="2851" max="2853" width="9" style="170" customWidth="1"/>
    <col min="2854" max="2854" width="29.375" style="170" bestFit="1" customWidth="1"/>
    <col min="2855" max="2855" width="21.625" style="170" bestFit="1" customWidth="1"/>
    <col min="2856" max="2858" width="9" style="170" customWidth="1"/>
    <col min="2859" max="2859" width="26.375" style="170" bestFit="1" customWidth="1"/>
    <col min="2860" max="2860" width="18.25" style="170" bestFit="1" customWidth="1"/>
    <col min="2861" max="2861" width="22.875" style="170" bestFit="1" customWidth="1"/>
    <col min="2862" max="3038" width="8.75" style="170"/>
    <col min="3039" max="3039" width="4.875" style="170" bestFit="1" customWidth="1"/>
    <col min="3040" max="3040" width="60.625" style="170" customWidth="1"/>
    <col min="3041" max="3041" width="11.25" style="170" customWidth="1"/>
    <col min="3042" max="3048" width="12" style="170" customWidth="1"/>
    <col min="3049" max="3049" width="9" style="170" customWidth="1"/>
    <col min="3050" max="3050" width="12" style="170" customWidth="1"/>
    <col min="3051" max="3051" width="39.25" style="170" bestFit="1" customWidth="1"/>
    <col min="3052" max="3052" width="9.375" style="170" customWidth="1"/>
    <col min="3053" max="3053" width="12.875" style="170" customWidth="1"/>
    <col min="3054" max="3054" width="9.375" style="170" customWidth="1"/>
    <col min="3055" max="3055" width="10.125" style="170" customWidth="1"/>
    <col min="3056" max="3056" width="9.375" style="170" customWidth="1"/>
    <col min="3057" max="3057" width="8.25" style="170" customWidth="1"/>
    <col min="3058" max="3058" width="9.875" style="170" customWidth="1"/>
    <col min="3059" max="3059" width="10.625" style="170" bestFit="1" customWidth="1"/>
    <col min="3060" max="3060" width="28.125" style="170" bestFit="1" customWidth="1"/>
    <col min="3061" max="3061" width="39.25" style="170" bestFit="1" customWidth="1"/>
    <col min="3062" max="3062" width="9.375" style="170" customWidth="1"/>
    <col min="3063" max="3063" width="12.875" style="170" customWidth="1"/>
    <col min="3064" max="3064" width="9.375" style="170" customWidth="1"/>
    <col min="3065" max="3065" width="10.125" style="170" customWidth="1"/>
    <col min="3066" max="3066" width="9.375" style="170" customWidth="1"/>
    <col min="3067" max="3067" width="8.25" style="170" customWidth="1"/>
    <col min="3068" max="3068" width="9.875" style="170" customWidth="1"/>
    <col min="3069" max="3069" width="10.625" style="170" customWidth="1"/>
    <col min="3070" max="3070" width="20.75" style="170" customWidth="1"/>
    <col min="3071" max="3071" width="28.125" style="170" customWidth="1"/>
    <col min="3072" max="3072" width="39.25" style="170" bestFit="1" customWidth="1"/>
    <col min="3073" max="3073" width="10.375" style="170" customWidth="1"/>
    <col min="3074" max="3074" width="8.25" style="170" customWidth="1"/>
    <col min="3075" max="3075" width="7.75" style="170" customWidth="1"/>
    <col min="3076" max="3076" width="17.375" style="170" customWidth="1"/>
    <col min="3077" max="3077" width="14.75" style="170" customWidth="1"/>
    <col min="3078" max="3078" width="19.375" style="170" customWidth="1"/>
    <col min="3079" max="3079" width="18.25" style="170" bestFit="1" customWidth="1"/>
    <col min="3080" max="3080" width="14" style="170" customWidth="1"/>
    <col min="3081" max="3081" width="7.75" style="170" customWidth="1"/>
    <col min="3082" max="3082" width="22.875" style="170" customWidth="1"/>
    <col min="3083" max="3083" width="14" style="170" customWidth="1"/>
    <col min="3084" max="3084" width="18.625" style="170" customWidth="1"/>
    <col min="3085" max="3085" width="17.25" style="170" customWidth="1"/>
    <col min="3086" max="3086" width="7.75" style="170" customWidth="1"/>
    <col min="3087" max="3087" width="22.125" style="170" bestFit="1" customWidth="1"/>
    <col min="3088" max="3088" width="10.375" style="170" customWidth="1"/>
    <col min="3089" max="3090" width="9" style="170" customWidth="1"/>
    <col min="3091" max="3091" width="15" style="170" customWidth="1"/>
    <col min="3092" max="3092" width="30.125" style="170" bestFit="1" customWidth="1"/>
    <col min="3093" max="3093" width="34.875" style="170" customWidth="1"/>
    <col min="3094" max="3094" width="19.375" style="170" bestFit="1" customWidth="1"/>
    <col min="3095" max="3095" width="11.75" style="170" customWidth="1"/>
    <col min="3096" max="3096" width="7.75" style="170" customWidth="1"/>
    <col min="3097" max="3097" width="24.125" style="170" customWidth="1"/>
    <col min="3098" max="3098" width="27.375" style="170" customWidth="1"/>
    <col min="3099" max="3099" width="7.625" style="170" customWidth="1"/>
    <col min="3100" max="3100" width="32.25" style="170" customWidth="1"/>
    <col min="3101" max="3101" width="24.375" style="170" customWidth="1"/>
    <col min="3102" max="3102" width="9" style="170" customWidth="1"/>
    <col min="3103" max="3103" width="11" style="170" customWidth="1"/>
    <col min="3104" max="3104" width="9" style="170" customWidth="1"/>
    <col min="3105" max="3105" width="29.125" style="170" bestFit="1" customWidth="1"/>
    <col min="3106" max="3106" width="24.875" style="170" bestFit="1" customWidth="1"/>
    <col min="3107" max="3109" width="9" style="170" customWidth="1"/>
    <col min="3110" max="3110" width="29.375" style="170" bestFit="1" customWidth="1"/>
    <col min="3111" max="3111" width="21.625" style="170" bestFit="1" customWidth="1"/>
    <col min="3112" max="3114" width="9" style="170" customWidth="1"/>
    <col min="3115" max="3115" width="26.375" style="170" bestFit="1" customWidth="1"/>
    <col min="3116" max="3116" width="18.25" style="170" bestFit="1" customWidth="1"/>
    <col min="3117" max="3117" width="22.875" style="170" bestFit="1" customWidth="1"/>
    <col min="3118" max="3294" width="8.75" style="170"/>
    <col min="3295" max="3295" width="4.875" style="170" bestFit="1" customWidth="1"/>
    <col min="3296" max="3296" width="60.625" style="170" customWidth="1"/>
    <col min="3297" max="3297" width="11.25" style="170" customWidth="1"/>
    <col min="3298" max="3304" width="12" style="170" customWidth="1"/>
    <col min="3305" max="3305" width="9" style="170" customWidth="1"/>
    <col min="3306" max="3306" width="12" style="170" customWidth="1"/>
    <col min="3307" max="3307" width="39.25" style="170" bestFit="1" customWidth="1"/>
    <col min="3308" max="3308" width="9.375" style="170" customWidth="1"/>
    <col min="3309" max="3309" width="12.875" style="170" customWidth="1"/>
    <col min="3310" max="3310" width="9.375" style="170" customWidth="1"/>
    <col min="3311" max="3311" width="10.125" style="170" customWidth="1"/>
    <col min="3312" max="3312" width="9.375" style="170" customWidth="1"/>
    <col min="3313" max="3313" width="8.25" style="170" customWidth="1"/>
    <col min="3314" max="3314" width="9.875" style="170" customWidth="1"/>
    <col min="3315" max="3315" width="10.625" style="170" bestFit="1" customWidth="1"/>
    <col min="3316" max="3316" width="28.125" style="170" bestFit="1" customWidth="1"/>
    <col min="3317" max="3317" width="39.25" style="170" bestFit="1" customWidth="1"/>
    <col min="3318" max="3318" width="9.375" style="170" customWidth="1"/>
    <col min="3319" max="3319" width="12.875" style="170" customWidth="1"/>
    <col min="3320" max="3320" width="9.375" style="170" customWidth="1"/>
    <col min="3321" max="3321" width="10.125" style="170" customWidth="1"/>
    <col min="3322" max="3322" width="9.375" style="170" customWidth="1"/>
    <col min="3323" max="3323" width="8.25" style="170" customWidth="1"/>
    <col min="3324" max="3324" width="9.875" style="170" customWidth="1"/>
    <col min="3325" max="3325" width="10.625" style="170" customWidth="1"/>
    <col min="3326" max="3326" width="20.75" style="170" customWidth="1"/>
    <col min="3327" max="3327" width="28.125" style="170" customWidth="1"/>
    <col min="3328" max="3328" width="39.25" style="170" bestFit="1" customWidth="1"/>
    <col min="3329" max="3329" width="10.375" style="170" customWidth="1"/>
    <col min="3330" max="3330" width="8.25" style="170" customWidth="1"/>
    <col min="3331" max="3331" width="7.75" style="170" customWidth="1"/>
    <col min="3332" max="3332" width="17.375" style="170" customWidth="1"/>
    <col min="3333" max="3333" width="14.75" style="170" customWidth="1"/>
    <col min="3334" max="3334" width="19.375" style="170" customWidth="1"/>
    <col min="3335" max="3335" width="18.25" style="170" bestFit="1" customWidth="1"/>
    <col min="3336" max="3336" width="14" style="170" customWidth="1"/>
    <col min="3337" max="3337" width="7.75" style="170" customWidth="1"/>
    <col min="3338" max="3338" width="22.875" style="170" customWidth="1"/>
    <col min="3339" max="3339" width="14" style="170" customWidth="1"/>
    <col min="3340" max="3340" width="18.625" style="170" customWidth="1"/>
    <col min="3341" max="3341" width="17.25" style="170" customWidth="1"/>
    <col min="3342" max="3342" width="7.75" style="170" customWidth="1"/>
    <col min="3343" max="3343" width="22.125" style="170" bestFit="1" customWidth="1"/>
    <col min="3344" max="3344" width="10.375" style="170" customWidth="1"/>
    <col min="3345" max="3346" width="9" style="170" customWidth="1"/>
    <col min="3347" max="3347" width="15" style="170" customWidth="1"/>
    <col min="3348" max="3348" width="30.125" style="170" bestFit="1" customWidth="1"/>
    <col min="3349" max="3349" width="34.875" style="170" customWidth="1"/>
    <col min="3350" max="3350" width="19.375" style="170" bestFit="1" customWidth="1"/>
    <col min="3351" max="3351" width="11.75" style="170" customWidth="1"/>
    <col min="3352" max="3352" width="7.75" style="170" customWidth="1"/>
    <col min="3353" max="3353" width="24.125" style="170" customWidth="1"/>
    <col min="3354" max="3354" width="27.375" style="170" customWidth="1"/>
    <col min="3355" max="3355" width="7.625" style="170" customWidth="1"/>
    <col min="3356" max="3356" width="32.25" style="170" customWidth="1"/>
    <col min="3357" max="3357" width="24.375" style="170" customWidth="1"/>
    <col min="3358" max="3358" width="9" style="170" customWidth="1"/>
    <col min="3359" max="3359" width="11" style="170" customWidth="1"/>
    <col min="3360" max="3360" width="9" style="170" customWidth="1"/>
    <col min="3361" max="3361" width="29.125" style="170" bestFit="1" customWidth="1"/>
    <col min="3362" max="3362" width="24.875" style="170" bestFit="1" customWidth="1"/>
    <col min="3363" max="3365" width="9" style="170" customWidth="1"/>
    <col min="3366" max="3366" width="29.375" style="170" bestFit="1" customWidth="1"/>
    <col min="3367" max="3367" width="21.625" style="170" bestFit="1" customWidth="1"/>
    <col min="3368" max="3370" width="9" style="170" customWidth="1"/>
    <col min="3371" max="3371" width="26.375" style="170" bestFit="1" customWidth="1"/>
    <col min="3372" max="3372" width="18.25" style="170" bestFit="1" customWidth="1"/>
    <col min="3373" max="3373" width="22.875" style="170" bestFit="1" customWidth="1"/>
    <col min="3374" max="3550" width="8.75" style="170"/>
    <col min="3551" max="3551" width="4.875" style="170" bestFit="1" customWidth="1"/>
    <col min="3552" max="3552" width="60.625" style="170" customWidth="1"/>
    <col min="3553" max="3553" width="11.25" style="170" customWidth="1"/>
    <col min="3554" max="3560" width="12" style="170" customWidth="1"/>
    <col min="3561" max="3561" width="9" style="170" customWidth="1"/>
    <col min="3562" max="3562" width="12" style="170" customWidth="1"/>
    <col min="3563" max="3563" width="39.25" style="170" bestFit="1" customWidth="1"/>
    <col min="3564" max="3564" width="9.375" style="170" customWidth="1"/>
    <col min="3565" max="3565" width="12.875" style="170" customWidth="1"/>
    <col min="3566" max="3566" width="9.375" style="170" customWidth="1"/>
    <col min="3567" max="3567" width="10.125" style="170" customWidth="1"/>
    <col min="3568" max="3568" width="9.375" style="170" customWidth="1"/>
    <col min="3569" max="3569" width="8.25" style="170" customWidth="1"/>
    <col min="3570" max="3570" width="9.875" style="170" customWidth="1"/>
    <col min="3571" max="3571" width="10.625" style="170" bestFit="1" customWidth="1"/>
    <col min="3572" max="3572" width="28.125" style="170" bestFit="1" customWidth="1"/>
    <col min="3573" max="3573" width="39.25" style="170" bestFit="1" customWidth="1"/>
    <col min="3574" max="3574" width="9.375" style="170" customWidth="1"/>
    <col min="3575" max="3575" width="12.875" style="170" customWidth="1"/>
    <col min="3576" max="3576" width="9.375" style="170" customWidth="1"/>
    <col min="3577" max="3577" width="10.125" style="170" customWidth="1"/>
    <col min="3578" max="3578" width="9.375" style="170" customWidth="1"/>
    <col min="3579" max="3579" width="8.25" style="170" customWidth="1"/>
    <col min="3580" max="3580" width="9.875" style="170" customWidth="1"/>
    <col min="3581" max="3581" width="10.625" style="170" customWidth="1"/>
    <col min="3582" max="3582" width="20.75" style="170" customWidth="1"/>
    <col min="3583" max="3583" width="28.125" style="170" customWidth="1"/>
    <col min="3584" max="3584" width="39.25" style="170" bestFit="1" customWidth="1"/>
    <col min="3585" max="3585" width="10.375" style="170" customWidth="1"/>
    <col min="3586" max="3586" width="8.25" style="170" customWidth="1"/>
    <col min="3587" max="3587" width="7.75" style="170" customWidth="1"/>
    <col min="3588" max="3588" width="17.375" style="170" customWidth="1"/>
    <col min="3589" max="3589" width="14.75" style="170" customWidth="1"/>
    <col min="3590" max="3590" width="19.375" style="170" customWidth="1"/>
    <col min="3591" max="3591" width="18.25" style="170" bestFit="1" customWidth="1"/>
    <col min="3592" max="3592" width="14" style="170" customWidth="1"/>
    <col min="3593" max="3593" width="7.75" style="170" customWidth="1"/>
    <col min="3594" max="3594" width="22.875" style="170" customWidth="1"/>
    <col min="3595" max="3595" width="14" style="170" customWidth="1"/>
    <col min="3596" max="3596" width="18.625" style="170" customWidth="1"/>
    <col min="3597" max="3597" width="17.25" style="170" customWidth="1"/>
    <col min="3598" max="3598" width="7.75" style="170" customWidth="1"/>
    <col min="3599" max="3599" width="22.125" style="170" bestFit="1" customWidth="1"/>
    <col min="3600" max="3600" width="10.375" style="170" customWidth="1"/>
    <col min="3601" max="3602" width="9" style="170" customWidth="1"/>
    <col min="3603" max="3603" width="15" style="170" customWidth="1"/>
    <col min="3604" max="3604" width="30.125" style="170" bestFit="1" customWidth="1"/>
    <col min="3605" max="3605" width="34.875" style="170" customWidth="1"/>
    <col min="3606" max="3606" width="19.375" style="170" bestFit="1" customWidth="1"/>
    <col min="3607" max="3607" width="11.75" style="170" customWidth="1"/>
    <col min="3608" max="3608" width="7.75" style="170" customWidth="1"/>
    <col min="3609" max="3609" width="24.125" style="170" customWidth="1"/>
    <col min="3610" max="3610" width="27.375" style="170" customWidth="1"/>
    <col min="3611" max="3611" width="7.625" style="170" customWidth="1"/>
    <col min="3612" max="3612" width="32.25" style="170" customWidth="1"/>
    <col min="3613" max="3613" width="24.375" style="170" customWidth="1"/>
    <col min="3614" max="3614" width="9" style="170" customWidth="1"/>
    <col min="3615" max="3615" width="11" style="170" customWidth="1"/>
    <col min="3616" max="3616" width="9" style="170" customWidth="1"/>
    <col min="3617" max="3617" width="29.125" style="170" bestFit="1" customWidth="1"/>
    <col min="3618" max="3618" width="24.875" style="170" bestFit="1" customWidth="1"/>
    <col min="3619" max="3621" width="9" style="170" customWidth="1"/>
    <col min="3622" max="3622" width="29.375" style="170" bestFit="1" customWidth="1"/>
    <col min="3623" max="3623" width="21.625" style="170" bestFit="1" customWidth="1"/>
    <col min="3624" max="3626" width="9" style="170" customWidth="1"/>
    <col min="3627" max="3627" width="26.375" style="170" bestFit="1" customWidth="1"/>
    <col min="3628" max="3628" width="18.25" style="170" bestFit="1" customWidth="1"/>
    <col min="3629" max="3629" width="22.875" style="170" bestFit="1" customWidth="1"/>
    <col min="3630" max="3806" width="8.75" style="170"/>
    <col min="3807" max="3807" width="4.875" style="170" bestFit="1" customWidth="1"/>
    <col min="3808" max="3808" width="60.625" style="170" customWidth="1"/>
    <col min="3809" max="3809" width="11.25" style="170" customWidth="1"/>
    <col min="3810" max="3816" width="12" style="170" customWidth="1"/>
    <col min="3817" max="3817" width="9" style="170" customWidth="1"/>
    <col min="3818" max="3818" width="12" style="170" customWidth="1"/>
    <col min="3819" max="3819" width="39.25" style="170" bestFit="1" customWidth="1"/>
    <col min="3820" max="3820" width="9.375" style="170" customWidth="1"/>
    <col min="3821" max="3821" width="12.875" style="170" customWidth="1"/>
    <col min="3822" max="3822" width="9.375" style="170" customWidth="1"/>
    <col min="3823" max="3823" width="10.125" style="170" customWidth="1"/>
    <col min="3824" max="3824" width="9.375" style="170" customWidth="1"/>
    <col min="3825" max="3825" width="8.25" style="170" customWidth="1"/>
    <col min="3826" max="3826" width="9.875" style="170" customWidth="1"/>
    <col min="3827" max="3827" width="10.625" style="170" bestFit="1" customWidth="1"/>
    <col min="3828" max="3828" width="28.125" style="170" bestFit="1" customWidth="1"/>
    <col min="3829" max="3829" width="39.25" style="170" bestFit="1" customWidth="1"/>
    <col min="3830" max="3830" width="9.375" style="170" customWidth="1"/>
    <col min="3831" max="3831" width="12.875" style="170" customWidth="1"/>
    <col min="3832" max="3832" width="9.375" style="170" customWidth="1"/>
    <col min="3833" max="3833" width="10.125" style="170" customWidth="1"/>
    <col min="3834" max="3834" width="9.375" style="170" customWidth="1"/>
    <col min="3835" max="3835" width="8.25" style="170" customWidth="1"/>
    <col min="3836" max="3836" width="9.875" style="170" customWidth="1"/>
    <col min="3837" max="3837" width="10.625" style="170" customWidth="1"/>
    <col min="3838" max="3838" width="20.75" style="170" customWidth="1"/>
    <col min="3839" max="3839" width="28.125" style="170" customWidth="1"/>
    <col min="3840" max="3840" width="39.25" style="170" bestFit="1" customWidth="1"/>
    <col min="3841" max="3841" width="10.375" style="170" customWidth="1"/>
    <col min="3842" max="3842" width="8.25" style="170" customWidth="1"/>
    <col min="3843" max="3843" width="7.75" style="170" customWidth="1"/>
    <col min="3844" max="3844" width="17.375" style="170" customWidth="1"/>
    <col min="3845" max="3845" width="14.75" style="170" customWidth="1"/>
    <col min="3846" max="3846" width="19.375" style="170" customWidth="1"/>
    <col min="3847" max="3847" width="18.25" style="170" bestFit="1" customWidth="1"/>
    <col min="3848" max="3848" width="14" style="170" customWidth="1"/>
    <col min="3849" max="3849" width="7.75" style="170" customWidth="1"/>
    <col min="3850" max="3850" width="22.875" style="170" customWidth="1"/>
    <col min="3851" max="3851" width="14" style="170" customWidth="1"/>
    <col min="3852" max="3852" width="18.625" style="170" customWidth="1"/>
    <col min="3853" max="3853" width="17.25" style="170" customWidth="1"/>
    <col min="3854" max="3854" width="7.75" style="170" customWidth="1"/>
    <col min="3855" max="3855" width="22.125" style="170" bestFit="1" customWidth="1"/>
    <col min="3856" max="3856" width="10.375" style="170" customWidth="1"/>
    <col min="3857" max="3858" width="9" style="170" customWidth="1"/>
    <col min="3859" max="3859" width="15" style="170" customWidth="1"/>
    <col min="3860" max="3860" width="30.125" style="170" bestFit="1" customWidth="1"/>
    <col min="3861" max="3861" width="34.875" style="170" customWidth="1"/>
    <col min="3862" max="3862" width="19.375" style="170" bestFit="1" customWidth="1"/>
    <col min="3863" max="3863" width="11.75" style="170" customWidth="1"/>
    <col min="3864" max="3864" width="7.75" style="170" customWidth="1"/>
    <col min="3865" max="3865" width="24.125" style="170" customWidth="1"/>
    <col min="3866" max="3866" width="27.375" style="170" customWidth="1"/>
    <col min="3867" max="3867" width="7.625" style="170" customWidth="1"/>
    <col min="3868" max="3868" width="32.25" style="170" customWidth="1"/>
    <col min="3869" max="3869" width="24.375" style="170" customWidth="1"/>
    <col min="3870" max="3870" width="9" style="170" customWidth="1"/>
    <col min="3871" max="3871" width="11" style="170" customWidth="1"/>
    <col min="3872" max="3872" width="9" style="170" customWidth="1"/>
    <col min="3873" max="3873" width="29.125" style="170" bestFit="1" customWidth="1"/>
    <col min="3874" max="3874" width="24.875" style="170" bestFit="1" customWidth="1"/>
    <col min="3875" max="3877" width="9" style="170" customWidth="1"/>
    <col min="3878" max="3878" width="29.375" style="170" bestFit="1" customWidth="1"/>
    <col min="3879" max="3879" width="21.625" style="170" bestFit="1" customWidth="1"/>
    <col min="3880" max="3882" width="9" style="170" customWidth="1"/>
    <col min="3883" max="3883" width="26.375" style="170" bestFit="1" customWidth="1"/>
    <col min="3884" max="3884" width="18.25" style="170" bestFit="1" customWidth="1"/>
    <col min="3885" max="3885" width="22.875" style="170" bestFit="1" customWidth="1"/>
    <col min="3886" max="4062" width="8.75" style="170"/>
    <col min="4063" max="4063" width="4.875" style="170" bestFit="1" customWidth="1"/>
    <col min="4064" max="4064" width="60.625" style="170" customWidth="1"/>
    <col min="4065" max="4065" width="11.25" style="170" customWidth="1"/>
    <col min="4066" max="4072" width="12" style="170" customWidth="1"/>
    <col min="4073" max="4073" width="9" style="170" customWidth="1"/>
    <col min="4074" max="4074" width="12" style="170" customWidth="1"/>
    <col min="4075" max="4075" width="39.25" style="170" bestFit="1" customWidth="1"/>
    <col min="4076" max="4076" width="9.375" style="170" customWidth="1"/>
    <col min="4077" max="4077" width="12.875" style="170" customWidth="1"/>
    <col min="4078" max="4078" width="9.375" style="170" customWidth="1"/>
    <col min="4079" max="4079" width="10.125" style="170" customWidth="1"/>
    <col min="4080" max="4080" width="9.375" style="170" customWidth="1"/>
    <col min="4081" max="4081" width="8.25" style="170" customWidth="1"/>
    <col min="4082" max="4082" width="9.875" style="170" customWidth="1"/>
    <col min="4083" max="4083" width="10.625" style="170" bestFit="1" customWidth="1"/>
    <col min="4084" max="4084" width="28.125" style="170" bestFit="1" customWidth="1"/>
    <col min="4085" max="4085" width="39.25" style="170" bestFit="1" customWidth="1"/>
    <col min="4086" max="4086" width="9.375" style="170" customWidth="1"/>
    <col min="4087" max="4087" width="12.875" style="170" customWidth="1"/>
    <col min="4088" max="4088" width="9.375" style="170" customWidth="1"/>
    <col min="4089" max="4089" width="10.125" style="170" customWidth="1"/>
    <col min="4090" max="4090" width="9.375" style="170" customWidth="1"/>
    <col min="4091" max="4091" width="8.25" style="170" customWidth="1"/>
    <col min="4092" max="4092" width="9.875" style="170" customWidth="1"/>
    <col min="4093" max="4093" width="10.625" style="170" customWidth="1"/>
    <col min="4094" max="4094" width="20.75" style="170" customWidth="1"/>
    <col min="4095" max="4095" width="28.125" style="170" customWidth="1"/>
    <col min="4096" max="4096" width="39.25" style="170" bestFit="1" customWidth="1"/>
    <col min="4097" max="4097" width="10.375" style="170" customWidth="1"/>
    <col min="4098" max="4098" width="8.25" style="170" customWidth="1"/>
    <col min="4099" max="4099" width="7.75" style="170" customWidth="1"/>
    <col min="4100" max="4100" width="17.375" style="170" customWidth="1"/>
    <col min="4101" max="4101" width="14.75" style="170" customWidth="1"/>
    <col min="4102" max="4102" width="19.375" style="170" customWidth="1"/>
    <col min="4103" max="4103" width="18.25" style="170" bestFit="1" customWidth="1"/>
    <col min="4104" max="4104" width="14" style="170" customWidth="1"/>
    <col min="4105" max="4105" width="7.75" style="170" customWidth="1"/>
    <col min="4106" max="4106" width="22.875" style="170" customWidth="1"/>
    <col min="4107" max="4107" width="14" style="170" customWidth="1"/>
    <col min="4108" max="4108" width="18.625" style="170" customWidth="1"/>
    <col min="4109" max="4109" width="17.25" style="170" customWidth="1"/>
    <col min="4110" max="4110" width="7.75" style="170" customWidth="1"/>
    <col min="4111" max="4111" width="22.125" style="170" bestFit="1" customWidth="1"/>
    <col min="4112" max="4112" width="10.375" style="170" customWidth="1"/>
    <col min="4113" max="4114" width="9" style="170" customWidth="1"/>
    <col min="4115" max="4115" width="15" style="170" customWidth="1"/>
    <col min="4116" max="4116" width="30.125" style="170" bestFit="1" customWidth="1"/>
    <col min="4117" max="4117" width="34.875" style="170" customWidth="1"/>
    <col min="4118" max="4118" width="19.375" style="170" bestFit="1" customWidth="1"/>
    <col min="4119" max="4119" width="11.75" style="170" customWidth="1"/>
    <col min="4120" max="4120" width="7.75" style="170" customWidth="1"/>
    <col min="4121" max="4121" width="24.125" style="170" customWidth="1"/>
    <col min="4122" max="4122" width="27.375" style="170" customWidth="1"/>
    <col min="4123" max="4123" width="7.625" style="170" customWidth="1"/>
    <col min="4124" max="4124" width="32.25" style="170" customWidth="1"/>
    <col min="4125" max="4125" width="24.375" style="170" customWidth="1"/>
    <col min="4126" max="4126" width="9" style="170" customWidth="1"/>
    <col min="4127" max="4127" width="11" style="170" customWidth="1"/>
    <col min="4128" max="4128" width="9" style="170" customWidth="1"/>
    <col min="4129" max="4129" width="29.125" style="170" bestFit="1" customWidth="1"/>
    <col min="4130" max="4130" width="24.875" style="170" bestFit="1" customWidth="1"/>
    <col min="4131" max="4133" width="9" style="170" customWidth="1"/>
    <col min="4134" max="4134" width="29.375" style="170" bestFit="1" customWidth="1"/>
    <col min="4135" max="4135" width="21.625" style="170" bestFit="1" customWidth="1"/>
    <col min="4136" max="4138" width="9" style="170" customWidth="1"/>
    <col min="4139" max="4139" width="26.375" style="170" bestFit="1" customWidth="1"/>
    <col min="4140" max="4140" width="18.25" style="170" bestFit="1" customWidth="1"/>
    <col min="4141" max="4141" width="22.875" style="170" bestFit="1" customWidth="1"/>
    <col min="4142" max="4318" width="8.75" style="170"/>
    <col min="4319" max="4319" width="4.875" style="170" bestFit="1" customWidth="1"/>
    <col min="4320" max="4320" width="60.625" style="170" customWidth="1"/>
    <col min="4321" max="4321" width="11.25" style="170" customWidth="1"/>
    <col min="4322" max="4328" width="12" style="170" customWidth="1"/>
    <col min="4329" max="4329" width="9" style="170" customWidth="1"/>
    <col min="4330" max="4330" width="12" style="170" customWidth="1"/>
    <col min="4331" max="4331" width="39.25" style="170" bestFit="1" customWidth="1"/>
    <col min="4332" max="4332" width="9.375" style="170" customWidth="1"/>
    <col min="4333" max="4333" width="12.875" style="170" customWidth="1"/>
    <col min="4334" max="4334" width="9.375" style="170" customWidth="1"/>
    <col min="4335" max="4335" width="10.125" style="170" customWidth="1"/>
    <col min="4336" max="4336" width="9.375" style="170" customWidth="1"/>
    <col min="4337" max="4337" width="8.25" style="170" customWidth="1"/>
    <col min="4338" max="4338" width="9.875" style="170" customWidth="1"/>
    <col min="4339" max="4339" width="10.625" style="170" bestFit="1" customWidth="1"/>
    <col min="4340" max="4340" width="28.125" style="170" bestFit="1" customWidth="1"/>
    <col min="4341" max="4341" width="39.25" style="170" bestFit="1" customWidth="1"/>
    <col min="4342" max="4342" width="9.375" style="170" customWidth="1"/>
    <col min="4343" max="4343" width="12.875" style="170" customWidth="1"/>
    <col min="4344" max="4344" width="9.375" style="170" customWidth="1"/>
    <col min="4345" max="4345" width="10.125" style="170" customWidth="1"/>
    <col min="4346" max="4346" width="9.375" style="170" customWidth="1"/>
    <col min="4347" max="4347" width="8.25" style="170" customWidth="1"/>
    <col min="4348" max="4348" width="9.875" style="170" customWidth="1"/>
    <col min="4349" max="4349" width="10.625" style="170" customWidth="1"/>
    <col min="4350" max="4350" width="20.75" style="170" customWidth="1"/>
    <col min="4351" max="4351" width="28.125" style="170" customWidth="1"/>
    <col min="4352" max="4352" width="39.25" style="170" bestFit="1" customWidth="1"/>
    <col min="4353" max="4353" width="10.375" style="170" customWidth="1"/>
    <col min="4354" max="4354" width="8.25" style="170" customWidth="1"/>
    <col min="4355" max="4355" width="7.75" style="170" customWidth="1"/>
    <col min="4356" max="4356" width="17.375" style="170" customWidth="1"/>
    <col min="4357" max="4357" width="14.75" style="170" customWidth="1"/>
    <col min="4358" max="4358" width="19.375" style="170" customWidth="1"/>
    <col min="4359" max="4359" width="18.25" style="170" bestFit="1" customWidth="1"/>
    <col min="4360" max="4360" width="14" style="170" customWidth="1"/>
    <col min="4361" max="4361" width="7.75" style="170" customWidth="1"/>
    <col min="4362" max="4362" width="22.875" style="170" customWidth="1"/>
    <col min="4363" max="4363" width="14" style="170" customWidth="1"/>
    <col min="4364" max="4364" width="18.625" style="170" customWidth="1"/>
    <col min="4365" max="4365" width="17.25" style="170" customWidth="1"/>
    <col min="4366" max="4366" width="7.75" style="170" customWidth="1"/>
    <col min="4367" max="4367" width="22.125" style="170" bestFit="1" customWidth="1"/>
    <col min="4368" max="4368" width="10.375" style="170" customWidth="1"/>
    <col min="4369" max="4370" width="9" style="170" customWidth="1"/>
    <col min="4371" max="4371" width="15" style="170" customWidth="1"/>
    <col min="4372" max="4372" width="30.125" style="170" bestFit="1" customWidth="1"/>
    <col min="4373" max="4373" width="34.875" style="170" customWidth="1"/>
    <col min="4374" max="4374" width="19.375" style="170" bestFit="1" customWidth="1"/>
    <col min="4375" max="4375" width="11.75" style="170" customWidth="1"/>
    <col min="4376" max="4376" width="7.75" style="170" customWidth="1"/>
    <col min="4377" max="4377" width="24.125" style="170" customWidth="1"/>
    <col min="4378" max="4378" width="27.375" style="170" customWidth="1"/>
    <col min="4379" max="4379" width="7.625" style="170" customWidth="1"/>
    <col min="4380" max="4380" width="32.25" style="170" customWidth="1"/>
    <col min="4381" max="4381" width="24.375" style="170" customWidth="1"/>
    <col min="4382" max="4382" width="9" style="170" customWidth="1"/>
    <col min="4383" max="4383" width="11" style="170" customWidth="1"/>
    <col min="4384" max="4384" width="9" style="170" customWidth="1"/>
    <col min="4385" max="4385" width="29.125" style="170" bestFit="1" customWidth="1"/>
    <col min="4386" max="4386" width="24.875" style="170" bestFit="1" customWidth="1"/>
    <col min="4387" max="4389" width="9" style="170" customWidth="1"/>
    <col min="4390" max="4390" width="29.375" style="170" bestFit="1" customWidth="1"/>
    <col min="4391" max="4391" width="21.625" style="170" bestFit="1" customWidth="1"/>
    <col min="4392" max="4394" width="9" style="170" customWidth="1"/>
    <col min="4395" max="4395" width="26.375" style="170" bestFit="1" customWidth="1"/>
    <col min="4396" max="4396" width="18.25" style="170" bestFit="1" customWidth="1"/>
    <col min="4397" max="4397" width="22.875" style="170" bestFit="1" customWidth="1"/>
    <col min="4398" max="4574" width="8.75" style="170"/>
    <col min="4575" max="4575" width="4.875" style="170" bestFit="1" customWidth="1"/>
    <col min="4576" max="4576" width="60.625" style="170" customWidth="1"/>
    <col min="4577" max="4577" width="11.25" style="170" customWidth="1"/>
    <col min="4578" max="4584" width="12" style="170" customWidth="1"/>
    <col min="4585" max="4585" width="9" style="170" customWidth="1"/>
    <col min="4586" max="4586" width="12" style="170" customWidth="1"/>
    <col min="4587" max="4587" width="39.25" style="170" bestFit="1" customWidth="1"/>
    <col min="4588" max="4588" width="9.375" style="170" customWidth="1"/>
    <col min="4589" max="4589" width="12.875" style="170" customWidth="1"/>
    <col min="4590" max="4590" width="9.375" style="170" customWidth="1"/>
    <col min="4591" max="4591" width="10.125" style="170" customWidth="1"/>
    <col min="4592" max="4592" width="9.375" style="170" customWidth="1"/>
    <col min="4593" max="4593" width="8.25" style="170" customWidth="1"/>
    <col min="4594" max="4594" width="9.875" style="170" customWidth="1"/>
    <col min="4595" max="4595" width="10.625" style="170" bestFit="1" customWidth="1"/>
    <col min="4596" max="4596" width="28.125" style="170" bestFit="1" customWidth="1"/>
    <col min="4597" max="4597" width="39.25" style="170" bestFit="1" customWidth="1"/>
    <col min="4598" max="4598" width="9.375" style="170" customWidth="1"/>
    <col min="4599" max="4599" width="12.875" style="170" customWidth="1"/>
    <col min="4600" max="4600" width="9.375" style="170" customWidth="1"/>
    <col min="4601" max="4601" width="10.125" style="170" customWidth="1"/>
    <col min="4602" max="4602" width="9.375" style="170" customWidth="1"/>
    <col min="4603" max="4603" width="8.25" style="170" customWidth="1"/>
    <col min="4604" max="4604" width="9.875" style="170" customWidth="1"/>
    <col min="4605" max="4605" width="10.625" style="170" customWidth="1"/>
    <col min="4606" max="4606" width="20.75" style="170" customWidth="1"/>
    <col min="4607" max="4607" width="28.125" style="170" customWidth="1"/>
    <col min="4608" max="4608" width="39.25" style="170" bestFit="1" customWidth="1"/>
    <col min="4609" max="4609" width="10.375" style="170" customWidth="1"/>
    <col min="4610" max="4610" width="8.25" style="170" customWidth="1"/>
    <col min="4611" max="4611" width="7.75" style="170" customWidth="1"/>
    <col min="4612" max="4612" width="17.375" style="170" customWidth="1"/>
    <col min="4613" max="4613" width="14.75" style="170" customWidth="1"/>
    <col min="4614" max="4614" width="19.375" style="170" customWidth="1"/>
    <col min="4615" max="4615" width="18.25" style="170" bestFit="1" customWidth="1"/>
    <col min="4616" max="4616" width="14" style="170" customWidth="1"/>
    <col min="4617" max="4617" width="7.75" style="170" customWidth="1"/>
    <col min="4618" max="4618" width="22.875" style="170" customWidth="1"/>
    <col min="4619" max="4619" width="14" style="170" customWidth="1"/>
    <col min="4620" max="4620" width="18.625" style="170" customWidth="1"/>
    <col min="4621" max="4621" width="17.25" style="170" customWidth="1"/>
    <col min="4622" max="4622" width="7.75" style="170" customWidth="1"/>
    <col min="4623" max="4623" width="22.125" style="170" bestFit="1" customWidth="1"/>
    <col min="4624" max="4624" width="10.375" style="170" customWidth="1"/>
    <col min="4625" max="4626" width="9" style="170" customWidth="1"/>
    <col min="4627" max="4627" width="15" style="170" customWidth="1"/>
    <col min="4628" max="4628" width="30.125" style="170" bestFit="1" customWidth="1"/>
    <col min="4629" max="4629" width="34.875" style="170" customWidth="1"/>
    <col min="4630" max="4630" width="19.375" style="170" bestFit="1" customWidth="1"/>
    <col min="4631" max="4631" width="11.75" style="170" customWidth="1"/>
    <col min="4632" max="4632" width="7.75" style="170" customWidth="1"/>
    <col min="4633" max="4633" width="24.125" style="170" customWidth="1"/>
    <col min="4634" max="4634" width="27.375" style="170" customWidth="1"/>
    <col min="4635" max="4635" width="7.625" style="170" customWidth="1"/>
    <col min="4636" max="4636" width="32.25" style="170" customWidth="1"/>
    <col min="4637" max="4637" width="24.375" style="170" customWidth="1"/>
    <col min="4638" max="4638" width="9" style="170" customWidth="1"/>
    <col min="4639" max="4639" width="11" style="170" customWidth="1"/>
    <col min="4640" max="4640" width="9" style="170" customWidth="1"/>
    <col min="4641" max="4641" width="29.125" style="170" bestFit="1" customWidth="1"/>
    <col min="4642" max="4642" width="24.875" style="170" bestFit="1" customWidth="1"/>
    <col min="4643" max="4645" width="9" style="170" customWidth="1"/>
    <col min="4646" max="4646" width="29.375" style="170" bestFit="1" customWidth="1"/>
    <col min="4647" max="4647" width="21.625" style="170" bestFit="1" customWidth="1"/>
    <col min="4648" max="4650" width="9" style="170" customWidth="1"/>
    <col min="4651" max="4651" width="26.375" style="170" bestFit="1" customWidth="1"/>
    <col min="4652" max="4652" width="18.25" style="170" bestFit="1" customWidth="1"/>
    <col min="4653" max="4653" width="22.875" style="170" bestFit="1" customWidth="1"/>
    <col min="4654" max="4830" width="8.75" style="170"/>
    <col min="4831" max="4831" width="4.875" style="170" bestFit="1" customWidth="1"/>
    <col min="4832" max="4832" width="60.625" style="170" customWidth="1"/>
    <col min="4833" max="4833" width="11.25" style="170" customWidth="1"/>
    <col min="4834" max="4840" width="12" style="170" customWidth="1"/>
    <col min="4841" max="4841" width="9" style="170" customWidth="1"/>
    <col min="4842" max="4842" width="12" style="170" customWidth="1"/>
    <col min="4843" max="4843" width="39.25" style="170" bestFit="1" customWidth="1"/>
    <col min="4844" max="4844" width="9.375" style="170" customWidth="1"/>
    <col min="4845" max="4845" width="12.875" style="170" customWidth="1"/>
    <col min="4846" max="4846" width="9.375" style="170" customWidth="1"/>
    <col min="4847" max="4847" width="10.125" style="170" customWidth="1"/>
    <col min="4848" max="4848" width="9.375" style="170" customWidth="1"/>
    <col min="4849" max="4849" width="8.25" style="170" customWidth="1"/>
    <col min="4850" max="4850" width="9.875" style="170" customWidth="1"/>
    <col min="4851" max="4851" width="10.625" style="170" bestFit="1" customWidth="1"/>
    <col min="4852" max="4852" width="28.125" style="170" bestFit="1" customWidth="1"/>
    <col min="4853" max="4853" width="39.25" style="170" bestFit="1" customWidth="1"/>
    <col min="4854" max="4854" width="9.375" style="170" customWidth="1"/>
    <col min="4855" max="4855" width="12.875" style="170" customWidth="1"/>
    <col min="4856" max="4856" width="9.375" style="170" customWidth="1"/>
    <col min="4857" max="4857" width="10.125" style="170" customWidth="1"/>
    <col min="4858" max="4858" width="9.375" style="170" customWidth="1"/>
    <col min="4859" max="4859" width="8.25" style="170" customWidth="1"/>
    <col min="4860" max="4860" width="9.875" style="170" customWidth="1"/>
    <col min="4861" max="4861" width="10.625" style="170" customWidth="1"/>
    <col min="4862" max="4862" width="20.75" style="170" customWidth="1"/>
    <col min="4863" max="4863" width="28.125" style="170" customWidth="1"/>
    <col min="4864" max="4864" width="39.25" style="170" bestFit="1" customWidth="1"/>
    <col min="4865" max="4865" width="10.375" style="170" customWidth="1"/>
    <col min="4866" max="4866" width="8.25" style="170" customWidth="1"/>
    <col min="4867" max="4867" width="7.75" style="170" customWidth="1"/>
    <col min="4868" max="4868" width="17.375" style="170" customWidth="1"/>
    <col min="4869" max="4869" width="14.75" style="170" customWidth="1"/>
    <col min="4870" max="4870" width="19.375" style="170" customWidth="1"/>
    <col min="4871" max="4871" width="18.25" style="170" bestFit="1" customWidth="1"/>
    <col min="4872" max="4872" width="14" style="170" customWidth="1"/>
    <col min="4873" max="4873" width="7.75" style="170" customWidth="1"/>
    <col min="4874" max="4874" width="22.875" style="170" customWidth="1"/>
    <col min="4875" max="4875" width="14" style="170" customWidth="1"/>
    <col min="4876" max="4876" width="18.625" style="170" customWidth="1"/>
    <col min="4877" max="4877" width="17.25" style="170" customWidth="1"/>
    <col min="4878" max="4878" width="7.75" style="170" customWidth="1"/>
    <col min="4879" max="4879" width="22.125" style="170" bestFit="1" customWidth="1"/>
    <col min="4880" max="4880" width="10.375" style="170" customWidth="1"/>
    <col min="4881" max="4882" width="9" style="170" customWidth="1"/>
    <col min="4883" max="4883" width="15" style="170" customWidth="1"/>
    <col min="4884" max="4884" width="30.125" style="170" bestFit="1" customWidth="1"/>
    <col min="4885" max="4885" width="34.875" style="170" customWidth="1"/>
    <col min="4886" max="4886" width="19.375" style="170" bestFit="1" customWidth="1"/>
    <col min="4887" max="4887" width="11.75" style="170" customWidth="1"/>
    <col min="4888" max="4888" width="7.75" style="170" customWidth="1"/>
    <col min="4889" max="4889" width="24.125" style="170" customWidth="1"/>
    <col min="4890" max="4890" width="27.375" style="170" customWidth="1"/>
    <col min="4891" max="4891" width="7.625" style="170" customWidth="1"/>
    <col min="4892" max="4892" width="32.25" style="170" customWidth="1"/>
    <col min="4893" max="4893" width="24.375" style="170" customWidth="1"/>
    <col min="4894" max="4894" width="9" style="170" customWidth="1"/>
    <col min="4895" max="4895" width="11" style="170" customWidth="1"/>
    <col min="4896" max="4896" width="9" style="170" customWidth="1"/>
    <col min="4897" max="4897" width="29.125" style="170" bestFit="1" customWidth="1"/>
    <col min="4898" max="4898" width="24.875" style="170" bestFit="1" customWidth="1"/>
    <col min="4899" max="4901" width="9" style="170" customWidth="1"/>
    <col min="4902" max="4902" width="29.375" style="170" bestFit="1" customWidth="1"/>
    <col min="4903" max="4903" width="21.625" style="170" bestFit="1" customWidth="1"/>
    <col min="4904" max="4906" width="9" style="170" customWidth="1"/>
    <col min="4907" max="4907" width="26.375" style="170" bestFit="1" customWidth="1"/>
    <col min="4908" max="4908" width="18.25" style="170" bestFit="1" customWidth="1"/>
    <col min="4909" max="4909" width="22.875" style="170" bestFit="1" customWidth="1"/>
    <col min="4910" max="5086" width="8.75" style="170"/>
    <col min="5087" max="5087" width="4.875" style="170" bestFit="1" customWidth="1"/>
    <col min="5088" max="5088" width="60.625" style="170" customWidth="1"/>
    <col min="5089" max="5089" width="11.25" style="170" customWidth="1"/>
    <col min="5090" max="5096" width="12" style="170" customWidth="1"/>
    <col min="5097" max="5097" width="9" style="170" customWidth="1"/>
    <col min="5098" max="5098" width="12" style="170" customWidth="1"/>
    <col min="5099" max="5099" width="39.25" style="170" bestFit="1" customWidth="1"/>
    <col min="5100" max="5100" width="9.375" style="170" customWidth="1"/>
    <col min="5101" max="5101" width="12.875" style="170" customWidth="1"/>
    <col min="5102" max="5102" width="9.375" style="170" customWidth="1"/>
    <col min="5103" max="5103" width="10.125" style="170" customWidth="1"/>
    <col min="5104" max="5104" width="9.375" style="170" customWidth="1"/>
    <col min="5105" max="5105" width="8.25" style="170" customWidth="1"/>
    <col min="5106" max="5106" width="9.875" style="170" customWidth="1"/>
    <col min="5107" max="5107" width="10.625" style="170" bestFit="1" customWidth="1"/>
    <col min="5108" max="5108" width="28.125" style="170" bestFit="1" customWidth="1"/>
    <col min="5109" max="5109" width="39.25" style="170" bestFit="1" customWidth="1"/>
    <col min="5110" max="5110" width="9.375" style="170" customWidth="1"/>
    <col min="5111" max="5111" width="12.875" style="170" customWidth="1"/>
    <col min="5112" max="5112" width="9.375" style="170" customWidth="1"/>
    <col min="5113" max="5113" width="10.125" style="170" customWidth="1"/>
    <col min="5114" max="5114" width="9.375" style="170" customWidth="1"/>
    <col min="5115" max="5115" width="8.25" style="170" customWidth="1"/>
    <col min="5116" max="5116" width="9.875" style="170" customWidth="1"/>
    <col min="5117" max="5117" width="10.625" style="170" customWidth="1"/>
    <col min="5118" max="5118" width="20.75" style="170" customWidth="1"/>
    <col min="5119" max="5119" width="28.125" style="170" customWidth="1"/>
    <col min="5120" max="5120" width="39.25" style="170" bestFit="1" customWidth="1"/>
    <col min="5121" max="5121" width="10.375" style="170" customWidth="1"/>
    <col min="5122" max="5122" width="8.25" style="170" customWidth="1"/>
    <col min="5123" max="5123" width="7.75" style="170" customWidth="1"/>
    <col min="5124" max="5124" width="17.375" style="170" customWidth="1"/>
    <col min="5125" max="5125" width="14.75" style="170" customWidth="1"/>
    <col min="5126" max="5126" width="19.375" style="170" customWidth="1"/>
    <col min="5127" max="5127" width="18.25" style="170" bestFit="1" customWidth="1"/>
    <col min="5128" max="5128" width="14" style="170" customWidth="1"/>
    <col min="5129" max="5129" width="7.75" style="170" customWidth="1"/>
    <col min="5130" max="5130" width="22.875" style="170" customWidth="1"/>
    <col min="5131" max="5131" width="14" style="170" customWidth="1"/>
    <col min="5132" max="5132" width="18.625" style="170" customWidth="1"/>
    <col min="5133" max="5133" width="17.25" style="170" customWidth="1"/>
    <col min="5134" max="5134" width="7.75" style="170" customWidth="1"/>
    <col min="5135" max="5135" width="22.125" style="170" bestFit="1" customWidth="1"/>
    <col min="5136" max="5136" width="10.375" style="170" customWidth="1"/>
    <col min="5137" max="5138" width="9" style="170" customWidth="1"/>
    <col min="5139" max="5139" width="15" style="170" customWidth="1"/>
    <col min="5140" max="5140" width="30.125" style="170" bestFit="1" customWidth="1"/>
    <col min="5141" max="5141" width="34.875" style="170" customWidth="1"/>
    <col min="5142" max="5142" width="19.375" style="170" bestFit="1" customWidth="1"/>
    <col min="5143" max="5143" width="11.75" style="170" customWidth="1"/>
    <col min="5144" max="5144" width="7.75" style="170" customWidth="1"/>
    <col min="5145" max="5145" width="24.125" style="170" customWidth="1"/>
    <col min="5146" max="5146" width="27.375" style="170" customWidth="1"/>
    <col min="5147" max="5147" width="7.625" style="170" customWidth="1"/>
    <col min="5148" max="5148" width="32.25" style="170" customWidth="1"/>
    <col min="5149" max="5149" width="24.375" style="170" customWidth="1"/>
    <col min="5150" max="5150" width="9" style="170" customWidth="1"/>
    <col min="5151" max="5151" width="11" style="170" customWidth="1"/>
    <col min="5152" max="5152" width="9" style="170" customWidth="1"/>
    <col min="5153" max="5153" width="29.125" style="170" bestFit="1" customWidth="1"/>
    <col min="5154" max="5154" width="24.875" style="170" bestFit="1" customWidth="1"/>
    <col min="5155" max="5157" width="9" style="170" customWidth="1"/>
    <col min="5158" max="5158" width="29.375" style="170" bestFit="1" customWidth="1"/>
    <col min="5159" max="5159" width="21.625" style="170" bestFit="1" customWidth="1"/>
    <col min="5160" max="5162" width="9" style="170" customWidth="1"/>
    <col min="5163" max="5163" width="26.375" style="170" bestFit="1" customWidth="1"/>
    <col min="5164" max="5164" width="18.25" style="170" bestFit="1" customWidth="1"/>
    <col min="5165" max="5165" width="22.875" style="170" bestFit="1" customWidth="1"/>
    <col min="5166" max="5342" width="8.75" style="170"/>
    <col min="5343" max="5343" width="4.875" style="170" bestFit="1" customWidth="1"/>
    <col min="5344" max="5344" width="60.625" style="170" customWidth="1"/>
    <col min="5345" max="5345" width="11.25" style="170" customWidth="1"/>
    <col min="5346" max="5352" width="12" style="170" customWidth="1"/>
    <col min="5353" max="5353" width="9" style="170" customWidth="1"/>
    <col min="5354" max="5354" width="12" style="170" customWidth="1"/>
    <col min="5355" max="5355" width="39.25" style="170" bestFit="1" customWidth="1"/>
    <col min="5356" max="5356" width="9.375" style="170" customWidth="1"/>
    <col min="5357" max="5357" width="12.875" style="170" customWidth="1"/>
    <col min="5358" max="5358" width="9.375" style="170" customWidth="1"/>
    <col min="5359" max="5359" width="10.125" style="170" customWidth="1"/>
    <col min="5360" max="5360" width="9.375" style="170" customWidth="1"/>
    <col min="5361" max="5361" width="8.25" style="170" customWidth="1"/>
    <col min="5362" max="5362" width="9.875" style="170" customWidth="1"/>
    <col min="5363" max="5363" width="10.625" style="170" bestFit="1" customWidth="1"/>
    <col min="5364" max="5364" width="28.125" style="170" bestFit="1" customWidth="1"/>
    <col min="5365" max="5365" width="39.25" style="170" bestFit="1" customWidth="1"/>
    <col min="5366" max="5366" width="9.375" style="170" customWidth="1"/>
    <col min="5367" max="5367" width="12.875" style="170" customWidth="1"/>
    <col min="5368" max="5368" width="9.375" style="170" customWidth="1"/>
    <col min="5369" max="5369" width="10.125" style="170" customWidth="1"/>
    <col min="5370" max="5370" width="9.375" style="170" customWidth="1"/>
    <col min="5371" max="5371" width="8.25" style="170" customWidth="1"/>
    <col min="5372" max="5372" width="9.875" style="170" customWidth="1"/>
    <col min="5373" max="5373" width="10.625" style="170" customWidth="1"/>
    <col min="5374" max="5374" width="20.75" style="170" customWidth="1"/>
    <col min="5375" max="5375" width="28.125" style="170" customWidth="1"/>
    <col min="5376" max="5376" width="39.25" style="170" bestFit="1" customWidth="1"/>
    <col min="5377" max="5377" width="10.375" style="170" customWidth="1"/>
    <col min="5378" max="5378" width="8.25" style="170" customWidth="1"/>
    <col min="5379" max="5379" width="7.75" style="170" customWidth="1"/>
    <col min="5380" max="5380" width="17.375" style="170" customWidth="1"/>
    <col min="5381" max="5381" width="14.75" style="170" customWidth="1"/>
    <col min="5382" max="5382" width="19.375" style="170" customWidth="1"/>
    <col min="5383" max="5383" width="18.25" style="170" bestFit="1" customWidth="1"/>
    <col min="5384" max="5384" width="14" style="170" customWidth="1"/>
    <col min="5385" max="5385" width="7.75" style="170" customWidth="1"/>
    <col min="5386" max="5386" width="22.875" style="170" customWidth="1"/>
    <col min="5387" max="5387" width="14" style="170" customWidth="1"/>
    <col min="5388" max="5388" width="18.625" style="170" customWidth="1"/>
    <col min="5389" max="5389" width="17.25" style="170" customWidth="1"/>
    <col min="5390" max="5390" width="7.75" style="170" customWidth="1"/>
    <col min="5391" max="5391" width="22.125" style="170" bestFit="1" customWidth="1"/>
    <col min="5392" max="5392" width="10.375" style="170" customWidth="1"/>
    <col min="5393" max="5394" width="9" style="170" customWidth="1"/>
    <col min="5395" max="5395" width="15" style="170" customWidth="1"/>
    <col min="5396" max="5396" width="30.125" style="170" bestFit="1" customWidth="1"/>
    <col min="5397" max="5397" width="34.875" style="170" customWidth="1"/>
    <col min="5398" max="5398" width="19.375" style="170" bestFit="1" customWidth="1"/>
    <col min="5399" max="5399" width="11.75" style="170" customWidth="1"/>
    <col min="5400" max="5400" width="7.75" style="170" customWidth="1"/>
    <col min="5401" max="5401" width="24.125" style="170" customWidth="1"/>
    <col min="5402" max="5402" width="27.375" style="170" customWidth="1"/>
    <col min="5403" max="5403" width="7.625" style="170" customWidth="1"/>
    <col min="5404" max="5404" width="32.25" style="170" customWidth="1"/>
    <col min="5405" max="5405" width="24.375" style="170" customWidth="1"/>
    <col min="5406" max="5406" width="9" style="170" customWidth="1"/>
    <col min="5407" max="5407" width="11" style="170" customWidth="1"/>
    <col min="5408" max="5408" width="9" style="170" customWidth="1"/>
    <col min="5409" max="5409" width="29.125" style="170" bestFit="1" customWidth="1"/>
    <col min="5410" max="5410" width="24.875" style="170" bestFit="1" customWidth="1"/>
    <col min="5411" max="5413" width="9" style="170" customWidth="1"/>
    <col min="5414" max="5414" width="29.375" style="170" bestFit="1" customWidth="1"/>
    <col min="5415" max="5415" width="21.625" style="170" bestFit="1" customWidth="1"/>
    <col min="5416" max="5418" width="9" style="170" customWidth="1"/>
    <col min="5419" max="5419" width="26.375" style="170" bestFit="1" customWidth="1"/>
    <col min="5420" max="5420" width="18.25" style="170" bestFit="1" customWidth="1"/>
    <col min="5421" max="5421" width="22.875" style="170" bestFit="1" customWidth="1"/>
    <col min="5422" max="5598" width="8.75" style="170"/>
    <col min="5599" max="5599" width="4.875" style="170" bestFit="1" customWidth="1"/>
    <col min="5600" max="5600" width="60.625" style="170" customWidth="1"/>
    <col min="5601" max="5601" width="11.25" style="170" customWidth="1"/>
    <col min="5602" max="5608" width="12" style="170" customWidth="1"/>
    <col min="5609" max="5609" width="9" style="170" customWidth="1"/>
    <col min="5610" max="5610" width="12" style="170" customWidth="1"/>
    <col min="5611" max="5611" width="39.25" style="170" bestFit="1" customWidth="1"/>
    <col min="5612" max="5612" width="9.375" style="170" customWidth="1"/>
    <col min="5613" max="5613" width="12.875" style="170" customWidth="1"/>
    <col min="5614" max="5614" width="9.375" style="170" customWidth="1"/>
    <col min="5615" max="5615" width="10.125" style="170" customWidth="1"/>
    <col min="5616" max="5616" width="9.375" style="170" customWidth="1"/>
    <col min="5617" max="5617" width="8.25" style="170" customWidth="1"/>
    <col min="5618" max="5618" width="9.875" style="170" customWidth="1"/>
    <col min="5619" max="5619" width="10.625" style="170" bestFit="1" customWidth="1"/>
    <col min="5620" max="5620" width="28.125" style="170" bestFit="1" customWidth="1"/>
    <col min="5621" max="5621" width="39.25" style="170" bestFit="1" customWidth="1"/>
    <col min="5622" max="5622" width="9.375" style="170" customWidth="1"/>
    <col min="5623" max="5623" width="12.875" style="170" customWidth="1"/>
    <col min="5624" max="5624" width="9.375" style="170" customWidth="1"/>
    <col min="5625" max="5625" width="10.125" style="170" customWidth="1"/>
    <col min="5626" max="5626" width="9.375" style="170" customWidth="1"/>
    <col min="5627" max="5627" width="8.25" style="170" customWidth="1"/>
    <col min="5628" max="5628" width="9.875" style="170" customWidth="1"/>
    <col min="5629" max="5629" width="10.625" style="170" customWidth="1"/>
    <col min="5630" max="5630" width="20.75" style="170" customWidth="1"/>
    <col min="5631" max="5631" width="28.125" style="170" customWidth="1"/>
    <col min="5632" max="5632" width="39.25" style="170" bestFit="1" customWidth="1"/>
    <col min="5633" max="5633" width="10.375" style="170" customWidth="1"/>
    <col min="5634" max="5634" width="8.25" style="170" customWidth="1"/>
    <col min="5635" max="5635" width="7.75" style="170" customWidth="1"/>
    <col min="5636" max="5636" width="17.375" style="170" customWidth="1"/>
    <col min="5637" max="5637" width="14.75" style="170" customWidth="1"/>
    <col min="5638" max="5638" width="19.375" style="170" customWidth="1"/>
    <col min="5639" max="5639" width="18.25" style="170" bestFit="1" customWidth="1"/>
    <col min="5640" max="5640" width="14" style="170" customWidth="1"/>
    <col min="5641" max="5641" width="7.75" style="170" customWidth="1"/>
    <col min="5642" max="5642" width="22.875" style="170" customWidth="1"/>
    <col min="5643" max="5643" width="14" style="170" customWidth="1"/>
    <col min="5644" max="5644" width="18.625" style="170" customWidth="1"/>
    <col min="5645" max="5645" width="17.25" style="170" customWidth="1"/>
    <col min="5646" max="5646" width="7.75" style="170" customWidth="1"/>
    <col min="5647" max="5647" width="22.125" style="170" bestFit="1" customWidth="1"/>
    <col min="5648" max="5648" width="10.375" style="170" customWidth="1"/>
    <col min="5649" max="5650" width="9" style="170" customWidth="1"/>
    <col min="5651" max="5651" width="15" style="170" customWidth="1"/>
    <col min="5652" max="5652" width="30.125" style="170" bestFit="1" customWidth="1"/>
    <col min="5653" max="5653" width="34.875" style="170" customWidth="1"/>
    <col min="5654" max="5654" width="19.375" style="170" bestFit="1" customWidth="1"/>
    <col min="5655" max="5655" width="11.75" style="170" customWidth="1"/>
    <col min="5656" max="5656" width="7.75" style="170" customWidth="1"/>
    <col min="5657" max="5657" width="24.125" style="170" customWidth="1"/>
    <col min="5658" max="5658" width="27.375" style="170" customWidth="1"/>
    <col min="5659" max="5659" width="7.625" style="170" customWidth="1"/>
    <col min="5660" max="5660" width="32.25" style="170" customWidth="1"/>
    <col min="5661" max="5661" width="24.375" style="170" customWidth="1"/>
    <col min="5662" max="5662" width="9" style="170" customWidth="1"/>
    <col min="5663" max="5663" width="11" style="170" customWidth="1"/>
    <col min="5664" max="5664" width="9" style="170" customWidth="1"/>
    <col min="5665" max="5665" width="29.125" style="170" bestFit="1" customWidth="1"/>
    <col min="5666" max="5666" width="24.875" style="170" bestFit="1" customWidth="1"/>
    <col min="5667" max="5669" width="9" style="170" customWidth="1"/>
    <col min="5670" max="5670" width="29.375" style="170" bestFit="1" customWidth="1"/>
    <col min="5671" max="5671" width="21.625" style="170" bestFit="1" customWidth="1"/>
    <col min="5672" max="5674" width="9" style="170" customWidth="1"/>
    <col min="5675" max="5675" width="26.375" style="170" bestFit="1" customWidth="1"/>
    <col min="5676" max="5676" width="18.25" style="170" bestFit="1" customWidth="1"/>
    <col min="5677" max="5677" width="22.875" style="170" bestFit="1" customWidth="1"/>
    <col min="5678" max="5854" width="8.75" style="170"/>
    <col min="5855" max="5855" width="4.875" style="170" bestFit="1" customWidth="1"/>
    <col min="5856" max="5856" width="60.625" style="170" customWidth="1"/>
    <col min="5857" max="5857" width="11.25" style="170" customWidth="1"/>
    <col min="5858" max="5864" width="12" style="170" customWidth="1"/>
    <col min="5865" max="5865" width="9" style="170" customWidth="1"/>
    <col min="5866" max="5866" width="12" style="170" customWidth="1"/>
    <col min="5867" max="5867" width="39.25" style="170" bestFit="1" customWidth="1"/>
    <col min="5868" max="5868" width="9.375" style="170" customWidth="1"/>
    <col min="5869" max="5869" width="12.875" style="170" customWidth="1"/>
    <col min="5870" max="5870" width="9.375" style="170" customWidth="1"/>
    <col min="5871" max="5871" width="10.125" style="170" customWidth="1"/>
    <col min="5872" max="5872" width="9.375" style="170" customWidth="1"/>
    <col min="5873" max="5873" width="8.25" style="170" customWidth="1"/>
    <col min="5874" max="5874" width="9.875" style="170" customWidth="1"/>
    <col min="5875" max="5875" width="10.625" style="170" bestFit="1" customWidth="1"/>
    <col min="5876" max="5876" width="28.125" style="170" bestFit="1" customWidth="1"/>
    <col min="5877" max="5877" width="39.25" style="170" bestFit="1" customWidth="1"/>
    <col min="5878" max="5878" width="9.375" style="170" customWidth="1"/>
    <col min="5879" max="5879" width="12.875" style="170" customWidth="1"/>
    <col min="5880" max="5880" width="9.375" style="170" customWidth="1"/>
    <col min="5881" max="5881" width="10.125" style="170" customWidth="1"/>
    <col min="5882" max="5882" width="9.375" style="170" customWidth="1"/>
    <col min="5883" max="5883" width="8.25" style="170" customWidth="1"/>
    <col min="5884" max="5884" width="9.875" style="170" customWidth="1"/>
    <col min="5885" max="5885" width="10.625" style="170" customWidth="1"/>
    <col min="5886" max="5886" width="20.75" style="170" customWidth="1"/>
    <col min="5887" max="5887" width="28.125" style="170" customWidth="1"/>
    <col min="5888" max="5888" width="39.25" style="170" bestFit="1" customWidth="1"/>
    <col min="5889" max="5889" width="10.375" style="170" customWidth="1"/>
    <col min="5890" max="5890" width="8.25" style="170" customWidth="1"/>
    <col min="5891" max="5891" width="7.75" style="170" customWidth="1"/>
    <col min="5892" max="5892" width="17.375" style="170" customWidth="1"/>
    <col min="5893" max="5893" width="14.75" style="170" customWidth="1"/>
    <col min="5894" max="5894" width="19.375" style="170" customWidth="1"/>
    <col min="5895" max="5895" width="18.25" style="170" bestFit="1" customWidth="1"/>
    <col min="5896" max="5896" width="14" style="170" customWidth="1"/>
    <col min="5897" max="5897" width="7.75" style="170" customWidth="1"/>
    <col min="5898" max="5898" width="22.875" style="170" customWidth="1"/>
    <col min="5899" max="5899" width="14" style="170" customWidth="1"/>
    <col min="5900" max="5900" width="18.625" style="170" customWidth="1"/>
    <col min="5901" max="5901" width="17.25" style="170" customWidth="1"/>
    <col min="5902" max="5902" width="7.75" style="170" customWidth="1"/>
    <col min="5903" max="5903" width="22.125" style="170" bestFit="1" customWidth="1"/>
    <col min="5904" max="5904" width="10.375" style="170" customWidth="1"/>
    <col min="5905" max="5906" width="9" style="170" customWidth="1"/>
    <col min="5907" max="5907" width="15" style="170" customWidth="1"/>
    <col min="5908" max="5908" width="30.125" style="170" bestFit="1" customWidth="1"/>
    <col min="5909" max="5909" width="34.875" style="170" customWidth="1"/>
    <col min="5910" max="5910" width="19.375" style="170" bestFit="1" customWidth="1"/>
    <col min="5911" max="5911" width="11.75" style="170" customWidth="1"/>
    <col min="5912" max="5912" width="7.75" style="170" customWidth="1"/>
    <col min="5913" max="5913" width="24.125" style="170" customWidth="1"/>
    <col min="5914" max="5914" width="27.375" style="170" customWidth="1"/>
    <col min="5915" max="5915" width="7.625" style="170" customWidth="1"/>
    <col min="5916" max="5916" width="32.25" style="170" customWidth="1"/>
    <col min="5917" max="5917" width="24.375" style="170" customWidth="1"/>
    <col min="5918" max="5918" width="9" style="170" customWidth="1"/>
    <col min="5919" max="5919" width="11" style="170" customWidth="1"/>
    <col min="5920" max="5920" width="9" style="170" customWidth="1"/>
    <col min="5921" max="5921" width="29.125" style="170" bestFit="1" customWidth="1"/>
    <col min="5922" max="5922" width="24.875" style="170" bestFit="1" customWidth="1"/>
    <col min="5923" max="5925" width="9" style="170" customWidth="1"/>
    <col min="5926" max="5926" width="29.375" style="170" bestFit="1" customWidth="1"/>
    <col min="5927" max="5927" width="21.625" style="170" bestFit="1" customWidth="1"/>
    <col min="5928" max="5930" width="9" style="170" customWidth="1"/>
    <col min="5931" max="5931" width="26.375" style="170" bestFit="1" customWidth="1"/>
    <col min="5932" max="5932" width="18.25" style="170" bestFit="1" customWidth="1"/>
    <col min="5933" max="5933" width="22.875" style="170" bestFit="1" customWidth="1"/>
    <col min="5934" max="6110" width="8.75" style="170"/>
    <col min="6111" max="6111" width="4.875" style="170" bestFit="1" customWidth="1"/>
    <col min="6112" max="6112" width="60.625" style="170" customWidth="1"/>
    <col min="6113" max="6113" width="11.25" style="170" customWidth="1"/>
    <col min="6114" max="6120" width="12" style="170" customWidth="1"/>
    <col min="6121" max="6121" width="9" style="170" customWidth="1"/>
    <col min="6122" max="6122" width="12" style="170" customWidth="1"/>
    <col min="6123" max="6123" width="39.25" style="170" bestFit="1" customWidth="1"/>
    <col min="6124" max="6124" width="9.375" style="170" customWidth="1"/>
    <col min="6125" max="6125" width="12.875" style="170" customWidth="1"/>
    <col min="6126" max="6126" width="9.375" style="170" customWidth="1"/>
    <col min="6127" max="6127" width="10.125" style="170" customWidth="1"/>
    <col min="6128" max="6128" width="9.375" style="170" customWidth="1"/>
    <col min="6129" max="6129" width="8.25" style="170" customWidth="1"/>
    <col min="6130" max="6130" width="9.875" style="170" customWidth="1"/>
    <col min="6131" max="6131" width="10.625" style="170" bestFit="1" customWidth="1"/>
    <col min="6132" max="6132" width="28.125" style="170" bestFit="1" customWidth="1"/>
    <col min="6133" max="6133" width="39.25" style="170" bestFit="1" customWidth="1"/>
    <col min="6134" max="6134" width="9.375" style="170" customWidth="1"/>
    <col min="6135" max="6135" width="12.875" style="170" customWidth="1"/>
    <col min="6136" max="6136" width="9.375" style="170" customWidth="1"/>
    <col min="6137" max="6137" width="10.125" style="170" customWidth="1"/>
    <col min="6138" max="6138" width="9.375" style="170" customWidth="1"/>
    <col min="6139" max="6139" width="8.25" style="170" customWidth="1"/>
    <col min="6140" max="6140" width="9.875" style="170" customWidth="1"/>
    <col min="6141" max="6141" width="10.625" style="170" customWidth="1"/>
    <col min="6142" max="6142" width="20.75" style="170" customWidth="1"/>
    <col min="6143" max="6143" width="28.125" style="170" customWidth="1"/>
    <col min="6144" max="6144" width="39.25" style="170" bestFit="1" customWidth="1"/>
    <col min="6145" max="6145" width="10.375" style="170" customWidth="1"/>
    <col min="6146" max="6146" width="8.25" style="170" customWidth="1"/>
    <col min="6147" max="6147" width="7.75" style="170" customWidth="1"/>
    <col min="6148" max="6148" width="17.375" style="170" customWidth="1"/>
    <col min="6149" max="6149" width="14.75" style="170" customWidth="1"/>
    <col min="6150" max="6150" width="19.375" style="170" customWidth="1"/>
    <col min="6151" max="6151" width="18.25" style="170" bestFit="1" customWidth="1"/>
    <col min="6152" max="6152" width="14" style="170" customWidth="1"/>
    <col min="6153" max="6153" width="7.75" style="170" customWidth="1"/>
    <col min="6154" max="6154" width="22.875" style="170" customWidth="1"/>
    <col min="6155" max="6155" width="14" style="170" customWidth="1"/>
    <col min="6156" max="6156" width="18.625" style="170" customWidth="1"/>
    <col min="6157" max="6157" width="17.25" style="170" customWidth="1"/>
    <col min="6158" max="6158" width="7.75" style="170" customWidth="1"/>
    <col min="6159" max="6159" width="22.125" style="170" bestFit="1" customWidth="1"/>
    <col min="6160" max="6160" width="10.375" style="170" customWidth="1"/>
    <col min="6161" max="6162" width="9" style="170" customWidth="1"/>
    <col min="6163" max="6163" width="15" style="170" customWidth="1"/>
    <col min="6164" max="6164" width="30.125" style="170" bestFit="1" customWidth="1"/>
    <col min="6165" max="6165" width="34.875" style="170" customWidth="1"/>
    <col min="6166" max="6166" width="19.375" style="170" bestFit="1" customWidth="1"/>
    <col min="6167" max="6167" width="11.75" style="170" customWidth="1"/>
    <col min="6168" max="6168" width="7.75" style="170" customWidth="1"/>
    <col min="6169" max="6169" width="24.125" style="170" customWidth="1"/>
    <col min="6170" max="6170" width="27.375" style="170" customWidth="1"/>
    <col min="6171" max="6171" width="7.625" style="170" customWidth="1"/>
    <col min="6172" max="6172" width="32.25" style="170" customWidth="1"/>
    <col min="6173" max="6173" width="24.375" style="170" customWidth="1"/>
    <col min="6174" max="6174" width="9" style="170" customWidth="1"/>
    <col min="6175" max="6175" width="11" style="170" customWidth="1"/>
    <col min="6176" max="6176" width="9" style="170" customWidth="1"/>
    <col min="6177" max="6177" width="29.125" style="170" bestFit="1" customWidth="1"/>
    <col min="6178" max="6178" width="24.875" style="170" bestFit="1" customWidth="1"/>
    <col min="6179" max="6181" width="9" style="170" customWidth="1"/>
    <col min="6182" max="6182" width="29.375" style="170" bestFit="1" customWidth="1"/>
    <col min="6183" max="6183" width="21.625" style="170" bestFit="1" customWidth="1"/>
    <col min="6184" max="6186" width="9" style="170" customWidth="1"/>
    <col min="6187" max="6187" width="26.375" style="170" bestFit="1" customWidth="1"/>
    <col min="6188" max="6188" width="18.25" style="170" bestFit="1" customWidth="1"/>
    <col min="6189" max="6189" width="22.875" style="170" bestFit="1" customWidth="1"/>
    <col min="6190" max="6366" width="8.75" style="170"/>
    <col min="6367" max="6367" width="4.875" style="170" bestFit="1" customWidth="1"/>
    <col min="6368" max="6368" width="60.625" style="170" customWidth="1"/>
    <col min="6369" max="6369" width="11.25" style="170" customWidth="1"/>
    <col min="6370" max="6376" width="12" style="170" customWidth="1"/>
    <col min="6377" max="6377" width="9" style="170" customWidth="1"/>
    <col min="6378" max="6378" width="12" style="170" customWidth="1"/>
    <col min="6379" max="6379" width="39.25" style="170" bestFit="1" customWidth="1"/>
    <col min="6380" max="6380" width="9.375" style="170" customWidth="1"/>
    <col min="6381" max="6381" width="12.875" style="170" customWidth="1"/>
    <col min="6382" max="6382" width="9.375" style="170" customWidth="1"/>
    <col min="6383" max="6383" width="10.125" style="170" customWidth="1"/>
    <col min="6384" max="6384" width="9.375" style="170" customWidth="1"/>
    <col min="6385" max="6385" width="8.25" style="170" customWidth="1"/>
    <col min="6386" max="6386" width="9.875" style="170" customWidth="1"/>
    <col min="6387" max="6387" width="10.625" style="170" bestFit="1" customWidth="1"/>
    <col min="6388" max="6388" width="28.125" style="170" bestFit="1" customWidth="1"/>
    <col min="6389" max="6389" width="39.25" style="170" bestFit="1" customWidth="1"/>
    <col min="6390" max="6390" width="9.375" style="170" customWidth="1"/>
    <col min="6391" max="6391" width="12.875" style="170" customWidth="1"/>
    <col min="6392" max="6392" width="9.375" style="170" customWidth="1"/>
    <col min="6393" max="6393" width="10.125" style="170" customWidth="1"/>
    <col min="6394" max="6394" width="9.375" style="170" customWidth="1"/>
    <col min="6395" max="6395" width="8.25" style="170" customWidth="1"/>
    <col min="6396" max="6396" width="9.875" style="170" customWidth="1"/>
    <col min="6397" max="6397" width="10.625" style="170" customWidth="1"/>
    <col min="6398" max="6398" width="20.75" style="170" customWidth="1"/>
    <col min="6399" max="6399" width="28.125" style="170" customWidth="1"/>
    <col min="6400" max="6400" width="39.25" style="170" bestFit="1" customWidth="1"/>
    <col min="6401" max="6401" width="10.375" style="170" customWidth="1"/>
    <col min="6402" max="6402" width="8.25" style="170" customWidth="1"/>
    <col min="6403" max="6403" width="7.75" style="170" customWidth="1"/>
    <col min="6404" max="6404" width="17.375" style="170" customWidth="1"/>
    <col min="6405" max="6405" width="14.75" style="170" customWidth="1"/>
    <col min="6406" max="6406" width="19.375" style="170" customWidth="1"/>
    <col min="6407" max="6407" width="18.25" style="170" bestFit="1" customWidth="1"/>
    <col min="6408" max="6408" width="14" style="170" customWidth="1"/>
    <col min="6409" max="6409" width="7.75" style="170" customWidth="1"/>
    <col min="6410" max="6410" width="22.875" style="170" customWidth="1"/>
    <col min="6411" max="6411" width="14" style="170" customWidth="1"/>
    <col min="6412" max="6412" width="18.625" style="170" customWidth="1"/>
    <col min="6413" max="6413" width="17.25" style="170" customWidth="1"/>
    <col min="6414" max="6414" width="7.75" style="170" customWidth="1"/>
    <col min="6415" max="6415" width="22.125" style="170" bestFit="1" customWidth="1"/>
    <col min="6416" max="6416" width="10.375" style="170" customWidth="1"/>
    <col min="6417" max="6418" width="9" style="170" customWidth="1"/>
    <col min="6419" max="6419" width="15" style="170" customWidth="1"/>
    <col min="6420" max="6420" width="30.125" style="170" bestFit="1" customWidth="1"/>
    <col min="6421" max="6421" width="34.875" style="170" customWidth="1"/>
    <col min="6422" max="6422" width="19.375" style="170" bestFit="1" customWidth="1"/>
    <col min="6423" max="6423" width="11.75" style="170" customWidth="1"/>
    <col min="6424" max="6424" width="7.75" style="170" customWidth="1"/>
    <col min="6425" max="6425" width="24.125" style="170" customWidth="1"/>
    <col min="6426" max="6426" width="27.375" style="170" customWidth="1"/>
    <col min="6427" max="6427" width="7.625" style="170" customWidth="1"/>
    <col min="6428" max="6428" width="32.25" style="170" customWidth="1"/>
    <col min="6429" max="6429" width="24.375" style="170" customWidth="1"/>
    <col min="6430" max="6430" width="9" style="170" customWidth="1"/>
    <col min="6431" max="6431" width="11" style="170" customWidth="1"/>
    <col min="6432" max="6432" width="9" style="170" customWidth="1"/>
    <col min="6433" max="6433" width="29.125" style="170" bestFit="1" customWidth="1"/>
    <col min="6434" max="6434" width="24.875" style="170" bestFit="1" customWidth="1"/>
    <col min="6435" max="6437" width="9" style="170" customWidth="1"/>
    <col min="6438" max="6438" width="29.375" style="170" bestFit="1" customWidth="1"/>
    <col min="6439" max="6439" width="21.625" style="170" bestFit="1" customWidth="1"/>
    <col min="6440" max="6442" width="9" style="170" customWidth="1"/>
    <col min="6443" max="6443" width="26.375" style="170" bestFit="1" customWidth="1"/>
    <col min="6444" max="6444" width="18.25" style="170" bestFit="1" customWidth="1"/>
    <col min="6445" max="6445" width="22.875" style="170" bestFit="1" customWidth="1"/>
    <col min="6446" max="6622" width="8.75" style="170"/>
    <col min="6623" max="6623" width="4.875" style="170" bestFit="1" customWidth="1"/>
    <col min="6624" max="6624" width="60.625" style="170" customWidth="1"/>
    <col min="6625" max="6625" width="11.25" style="170" customWidth="1"/>
    <col min="6626" max="6632" width="12" style="170" customWidth="1"/>
    <col min="6633" max="6633" width="9" style="170" customWidth="1"/>
    <col min="6634" max="6634" width="12" style="170" customWidth="1"/>
    <col min="6635" max="6635" width="39.25" style="170" bestFit="1" customWidth="1"/>
    <col min="6636" max="6636" width="9.375" style="170" customWidth="1"/>
    <col min="6637" max="6637" width="12.875" style="170" customWidth="1"/>
    <col min="6638" max="6638" width="9.375" style="170" customWidth="1"/>
    <col min="6639" max="6639" width="10.125" style="170" customWidth="1"/>
    <col min="6640" max="6640" width="9.375" style="170" customWidth="1"/>
    <col min="6641" max="6641" width="8.25" style="170" customWidth="1"/>
    <col min="6642" max="6642" width="9.875" style="170" customWidth="1"/>
    <col min="6643" max="6643" width="10.625" style="170" bestFit="1" customWidth="1"/>
    <col min="6644" max="6644" width="28.125" style="170" bestFit="1" customWidth="1"/>
    <col min="6645" max="6645" width="39.25" style="170" bestFit="1" customWidth="1"/>
    <col min="6646" max="6646" width="9.375" style="170" customWidth="1"/>
    <col min="6647" max="6647" width="12.875" style="170" customWidth="1"/>
    <col min="6648" max="6648" width="9.375" style="170" customWidth="1"/>
    <col min="6649" max="6649" width="10.125" style="170" customWidth="1"/>
    <col min="6650" max="6650" width="9.375" style="170" customWidth="1"/>
    <col min="6651" max="6651" width="8.25" style="170" customWidth="1"/>
    <col min="6652" max="6652" width="9.875" style="170" customWidth="1"/>
    <col min="6653" max="6653" width="10.625" style="170" customWidth="1"/>
    <col min="6654" max="6654" width="20.75" style="170" customWidth="1"/>
    <col min="6655" max="6655" width="28.125" style="170" customWidth="1"/>
    <col min="6656" max="6656" width="39.25" style="170" bestFit="1" customWidth="1"/>
    <col min="6657" max="6657" width="10.375" style="170" customWidth="1"/>
    <col min="6658" max="6658" width="8.25" style="170" customWidth="1"/>
    <col min="6659" max="6659" width="7.75" style="170" customWidth="1"/>
    <col min="6660" max="6660" width="17.375" style="170" customWidth="1"/>
    <col min="6661" max="6661" width="14.75" style="170" customWidth="1"/>
    <col min="6662" max="6662" width="19.375" style="170" customWidth="1"/>
    <col min="6663" max="6663" width="18.25" style="170" bestFit="1" customWidth="1"/>
    <col min="6664" max="6664" width="14" style="170" customWidth="1"/>
    <col min="6665" max="6665" width="7.75" style="170" customWidth="1"/>
    <col min="6666" max="6666" width="22.875" style="170" customWidth="1"/>
    <col min="6667" max="6667" width="14" style="170" customWidth="1"/>
    <col min="6668" max="6668" width="18.625" style="170" customWidth="1"/>
    <col min="6669" max="6669" width="17.25" style="170" customWidth="1"/>
    <col min="6670" max="6670" width="7.75" style="170" customWidth="1"/>
    <col min="6671" max="6671" width="22.125" style="170" bestFit="1" customWidth="1"/>
    <col min="6672" max="6672" width="10.375" style="170" customWidth="1"/>
    <col min="6673" max="6674" width="9" style="170" customWidth="1"/>
    <col min="6675" max="6675" width="15" style="170" customWidth="1"/>
    <col min="6676" max="6676" width="30.125" style="170" bestFit="1" customWidth="1"/>
    <col min="6677" max="6677" width="34.875" style="170" customWidth="1"/>
    <col min="6678" max="6678" width="19.375" style="170" bestFit="1" customWidth="1"/>
    <col min="6679" max="6679" width="11.75" style="170" customWidth="1"/>
    <col min="6680" max="6680" width="7.75" style="170" customWidth="1"/>
    <col min="6681" max="6681" width="24.125" style="170" customWidth="1"/>
    <col min="6682" max="6682" width="27.375" style="170" customWidth="1"/>
    <col min="6683" max="6683" width="7.625" style="170" customWidth="1"/>
    <col min="6684" max="6684" width="32.25" style="170" customWidth="1"/>
    <col min="6685" max="6685" width="24.375" style="170" customWidth="1"/>
    <col min="6686" max="6686" width="9" style="170" customWidth="1"/>
    <col min="6687" max="6687" width="11" style="170" customWidth="1"/>
    <col min="6688" max="6688" width="9" style="170" customWidth="1"/>
    <col min="6689" max="6689" width="29.125" style="170" bestFit="1" customWidth="1"/>
    <col min="6690" max="6690" width="24.875" style="170" bestFit="1" customWidth="1"/>
    <col min="6691" max="6693" width="9" style="170" customWidth="1"/>
    <col min="6694" max="6694" width="29.375" style="170" bestFit="1" customWidth="1"/>
    <col min="6695" max="6695" width="21.625" style="170" bestFit="1" customWidth="1"/>
    <col min="6696" max="6698" width="9" style="170" customWidth="1"/>
    <col min="6699" max="6699" width="26.375" style="170" bestFit="1" customWidth="1"/>
    <col min="6700" max="6700" width="18.25" style="170" bestFit="1" customWidth="1"/>
    <col min="6701" max="6701" width="22.875" style="170" bestFit="1" customWidth="1"/>
    <col min="6702" max="6878" width="8.75" style="170"/>
    <col min="6879" max="6879" width="4.875" style="170" bestFit="1" customWidth="1"/>
    <col min="6880" max="6880" width="60.625" style="170" customWidth="1"/>
    <col min="6881" max="6881" width="11.25" style="170" customWidth="1"/>
    <col min="6882" max="6888" width="12" style="170" customWidth="1"/>
    <col min="6889" max="6889" width="9" style="170" customWidth="1"/>
    <col min="6890" max="6890" width="12" style="170" customWidth="1"/>
    <col min="6891" max="6891" width="39.25" style="170" bestFit="1" customWidth="1"/>
    <col min="6892" max="6892" width="9.375" style="170" customWidth="1"/>
    <col min="6893" max="6893" width="12.875" style="170" customWidth="1"/>
    <col min="6894" max="6894" width="9.375" style="170" customWidth="1"/>
    <col min="6895" max="6895" width="10.125" style="170" customWidth="1"/>
    <col min="6896" max="6896" width="9.375" style="170" customWidth="1"/>
    <col min="6897" max="6897" width="8.25" style="170" customWidth="1"/>
    <col min="6898" max="6898" width="9.875" style="170" customWidth="1"/>
    <col min="6899" max="6899" width="10.625" style="170" bestFit="1" customWidth="1"/>
    <col min="6900" max="6900" width="28.125" style="170" bestFit="1" customWidth="1"/>
    <col min="6901" max="6901" width="39.25" style="170" bestFit="1" customWidth="1"/>
    <col min="6902" max="6902" width="9.375" style="170" customWidth="1"/>
    <col min="6903" max="6903" width="12.875" style="170" customWidth="1"/>
    <col min="6904" max="6904" width="9.375" style="170" customWidth="1"/>
    <col min="6905" max="6905" width="10.125" style="170" customWidth="1"/>
    <col min="6906" max="6906" width="9.375" style="170" customWidth="1"/>
    <col min="6907" max="6907" width="8.25" style="170" customWidth="1"/>
    <col min="6908" max="6908" width="9.875" style="170" customWidth="1"/>
    <col min="6909" max="6909" width="10.625" style="170" customWidth="1"/>
    <col min="6910" max="6910" width="20.75" style="170" customWidth="1"/>
    <col min="6911" max="6911" width="28.125" style="170" customWidth="1"/>
    <col min="6912" max="6912" width="39.25" style="170" bestFit="1" customWidth="1"/>
    <col min="6913" max="6913" width="10.375" style="170" customWidth="1"/>
    <col min="6914" max="6914" width="8.25" style="170" customWidth="1"/>
    <col min="6915" max="6915" width="7.75" style="170" customWidth="1"/>
    <col min="6916" max="6916" width="17.375" style="170" customWidth="1"/>
    <col min="6917" max="6917" width="14.75" style="170" customWidth="1"/>
    <col min="6918" max="6918" width="19.375" style="170" customWidth="1"/>
    <col min="6919" max="6919" width="18.25" style="170" bestFit="1" customWidth="1"/>
    <col min="6920" max="6920" width="14" style="170" customWidth="1"/>
    <col min="6921" max="6921" width="7.75" style="170" customWidth="1"/>
    <col min="6922" max="6922" width="22.875" style="170" customWidth="1"/>
    <col min="6923" max="6923" width="14" style="170" customWidth="1"/>
    <col min="6924" max="6924" width="18.625" style="170" customWidth="1"/>
    <col min="6925" max="6925" width="17.25" style="170" customWidth="1"/>
    <col min="6926" max="6926" width="7.75" style="170" customWidth="1"/>
    <col min="6927" max="6927" width="22.125" style="170" bestFit="1" customWidth="1"/>
    <col min="6928" max="6928" width="10.375" style="170" customWidth="1"/>
    <col min="6929" max="6930" width="9" style="170" customWidth="1"/>
    <col min="6931" max="6931" width="15" style="170" customWidth="1"/>
    <col min="6932" max="6932" width="30.125" style="170" bestFit="1" customWidth="1"/>
    <col min="6933" max="6933" width="34.875" style="170" customWidth="1"/>
    <col min="6934" max="6934" width="19.375" style="170" bestFit="1" customWidth="1"/>
    <col min="6935" max="6935" width="11.75" style="170" customWidth="1"/>
    <col min="6936" max="6936" width="7.75" style="170" customWidth="1"/>
    <col min="6937" max="6937" width="24.125" style="170" customWidth="1"/>
    <col min="6938" max="6938" width="27.375" style="170" customWidth="1"/>
    <col min="6939" max="6939" width="7.625" style="170" customWidth="1"/>
    <col min="6940" max="6940" width="32.25" style="170" customWidth="1"/>
    <col min="6941" max="6941" width="24.375" style="170" customWidth="1"/>
    <col min="6942" max="6942" width="9" style="170" customWidth="1"/>
    <col min="6943" max="6943" width="11" style="170" customWidth="1"/>
    <col min="6944" max="6944" width="9" style="170" customWidth="1"/>
    <col min="6945" max="6945" width="29.125" style="170" bestFit="1" customWidth="1"/>
    <col min="6946" max="6946" width="24.875" style="170" bestFit="1" customWidth="1"/>
    <col min="6947" max="6949" width="9" style="170" customWidth="1"/>
    <col min="6950" max="6950" width="29.375" style="170" bestFit="1" customWidth="1"/>
    <col min="6951" max="6951" width="21.625" style="170" bestFit="1" customWidth="1"/>
    <col min="6952" max="6954" width="9" style="170" customWidth="1"/>
    <col min="6955" max="6955" width="26.375" style="170" bestFit="1" customWidth="1"/>
    <col min="6956" max="6956" width="18.25" style="170" bestFit="1" customWidth="1"/>
    <col min="6957" max="6957" width="22.875" style="170" bestFit="1" customWidth="1"/>
    <col min="6958" max="7134" width="8.75" style="170"/>
    <col min="7135" max="7135" width="4.875" style="170" bestFit="1" customWidth="1"/>
    <col min="7136" max="7136" width="60.625" style="170" customWidth="1"/>
    <col min="7137" max="7137" width="11.25" style="170" customWidth="1"/>
    <col min="7138" max="7144" width="12" style="170" customWidth="1"/>
    <col min="7145" max="7145" width="9" style="170" customWidth="1"/>
    <col min="7146" max="7146" width="12" style="170" customWidth="1"/>
    <col min="7147" max="7147" width="39.25" style="170" bestFit="1" customWidth="1"/>
    <col min="7148" max="7148" width="9.375" style="170" customWidth="1"/>
    <col min="7149" max="7149" width="12.875" style="170" customWidth="1"/>
    <col min="7150" max="7150" width="9.375" style="170" customWidth="1"/>
    <col min="7151" max="7151" width="10.125" style="170" customWidth="1"/>
    <col min="7152" max="7152" width="9.375" style="170" customWidth="1"/>
    <col min="7153" max="7153" width="8.25" style="170" customWidth="1"/>
    <col min="7154" max="7154" width="9.875" style="170" customWidth="1"/>
    <col min="7155" max="7155" width="10.625" style="170" bestFit="1" customWidth="1"/>
    <col min="7156" max="7156" width="28.125" style="170" bestFit="1" customWidth="1"/>
    <col min="7157" max="7157" width="39.25" style="170" bestFit="1" customWidth="1"/>
    <col min="7158" max="7158" width="9.375" style="170" customWidth="1"/>
    <col min="7159" max="7159" width="12.875" style="170" customWidth="1"/>
    <col min="7160" max="7160" width="9.375" style="170" customWidth="1"/>
    <col min="7161" max="7161" width="10.125" style="170" customWidth="1"/>
    <col min="7162" max="7162" width="9.375" style="170" customWidth="1"/>
    <col min="7163" max="7163" width="8.25" style="170" customWidth="1"/>
    <col min="7164" max="7164" width="9.875" style="170" customWidth="1"/>
    <col min="7165" max="7165" width="10.625" style="170" customWidth="1"/>
    <col min="7166" max="7166" width="20.75" style="170" customWidth="1"/>
    <col min="7167" max="7167" width="28.125" style="170" customWidth="1"/>
    <col min="7168" max="7168" width="39.25" style="170" bestFit="1" customWidth="1"/>
    <col min="7169" max="7169" width="10.375" style="170" customWidth="1"/>
    <col min="7170" max="7170" width="8.25" style="170" customWidth="1"/>
    <col min="7171" max="7171" width="7.75" style="170" customWidth="1"/>
    <col min="7172" max="7172" width="17.375" style="170" customWidth="1"/>
    <col min="7173" max="7173" width="14.75" style="170" customWidth="1"/>
    <col min="7174" max="7174" width="19.375" style="170" customWidth="1"/>
    <col min="7175" max="7175" width="18.25" style="170" bestFit="1" customWidth="1"/>
    <col min="7176" max="7176" width="14" style="170" customWidth="1"/>
    <col min="7177" max="7177" width="7.75" style="170" customWidth="1"/>
    <col min="7178" max="7178" width="22.875" style="170" customWidth="1"/>
    <col min="7179" max="7179" width="14" style="170" customWidth="1"/>
    <col min="7180" max="7180" width="18.625" style="170" customWidth="1"/>
    <col min="7181" max="7181" width="17.25" style="170" customWidth="1"/>
    <col min="7182" max="7182" width="7.75" style="170" customWidth="1"/>
    <col min="7183" max="7183" width="22.125" style="170" bestFit="1" customWidth="1"/>
    <col min="7184" max="7184" width="10.375" style="170" customWidth="1"/>
    <col min="7185" max="7186" width="9" style="170" customWidth="1"/>
    <col min="7187" max="7187" width="15" style="170" customWidth="1"/>
    <col min="7188" max="7188" width="30.125" style="170" bestFit="1" customWidth="1"/>
    <col min="7189" max="7189" width="34.875" style="170" customWidth="1"/>
    <col min="7190" max="7190" width="19.375" style="170" bestFit="1" customWidth="1"/>
    <col min="7191" max="7191" width="11.75" style="170" customWidth="1"/>
    <col min="7192" max="7192" width="7.75" style="170" customWidth="1"/>
    <col min="7193" max="7193" width="24.125" style="170" customWidth="1"/>
    <col min="7194" max="7194" width="27.375" style="170" customWidth="1"/>
    <col min="7195" max="7195" width="7.625" style="170" customWidth="1"/>
    <col min="7196" max="7196" width="32.25" style="170" customWidth="1"/>
    <col min="7197" max="7197" width="24.375" style="170" customWidth="1"/>
    <col min="7198" max="7198" width="9" style="170" customWidth="1"/>
    <col min="7199" max="7199" width="11" style="170" customWidth="1"/>
    <col min="7200" max="7200" width="9" style="170" customWidth="1"/>
    <col min="7201" max="7201" width="29.125" style="170" bestFit="1" customWidth="1"/>
    <col min="7202" max="7202" width="24.875" style="170" bestFit="1" customWidth="1"/>
    <col min="7203" max="7205" width="9" style="170" customWidth="1"/>
    <col min="7206" max="7206" width="29.375" style="170" bestFit="1" customWidth="1"/>
    <col min="7207" max="7207" width="21.625" style="170" bestFit="1" customWidth="1"/>
    <col min="7208" max="7210" width="9" style="170" customWidth="1"/>
    <col min="7211" max="7211" width="26.375" style="170" bestFit="1" customWidth="1"/>
    <col min="7212" max="7212" width="18.25" style="170" bestFit="1" customWidth="1"/>
    <col min="7213" max="7213" width="22.875" style="170" bestFit="1" customWidth="1"/>
    <col min="7214" max="7390" width="8.75" style="170"/>
    <col min="7391" max="7391" width="4.875" style="170" bestFit="1" customWidth="1"/>
    <col min="7392" max="7392" width="60.625" style="170" customWidth="1"/>
    <col min="7393" max="7393" width="11.25" style="170" customWidth="1"/>
    <col min="7394" max="7400" width="12" style="170" customWidth="1"/>
    <col min="7401" max="7401" width="9" style="170" customWidth="1"/>
    <col min="7402" max="7402" width="12" style="170" customWidth="1"/>
    <col min="7403" max="7403" width="39.25" style="170" bestFit="1" customWidth="1"/>
    <col min="7404" max="7404" width="9.375" style="170" customWidth="1"/>
    <col min="7405" max="7405" width="12.875" style="170" customWidth="1"/>
    <col min="7406" max="7406" width="9.375" style="170" customWidth="1"/>
    <col min="7407" max="7407" width="10.125" style="170" customWidth="1"/>
    <col min="7408" max="7408" width="9.375" style="170" customWidth="1"/>
    <col min="7409" max="7409" width="8.25" style="170" customWidth="1"/>
    <col min="7410" max="7410" width="9.875" style="170" customWidth="1"/>
    <col min="7411" max="7411" width="10.625" style="170" bestFit="1" customWidth="1"/>
    <col min="7412" max="7412" width="28.125" style="170" bestFit="1" customWidth="1"/>
    <col min="7413" max="7413" width="39.25" style="170" bestFit="1" customWidth="1"/>
    <col min="7414" max="7414" width="9.375" style="170" customWidth="1"/>
    <col min="7415" max="7415" width="12.875" style="170" customWidth="1"/>
    <col min="7416" max="7416" width="9.375" style="170" customWidth="1"/>
    <col min="7417" max="7417" width="10.125" style="170" customWidth="1"/>
    <col min="7418" max="7418" width="9.375" style="170" customWidth="1"/>
    <col min="7419" max="7419" width="8.25" style="170" customWidth="1"/>
    <col min="7420" max="7420" width="9.875" style="170" customWidth="1"/>
    <col min="7421" max="7421" width="10.625" style="170" customWidth="1"/>
    <col min="7422" max="7422" width="20.75" style="170" customWidth="1"/>
    <col min="7423" max="7423" width="28.125" style="170" customWidth="1"/>
    <col min="7424" max="7424" width="39.25" style="170" bestFit="1" customWidth="1"/>
    <col min="7425" max="7425" width="10.375" style="170" customWidth="1"/>
    <col min="7426" max="7426" width="8.25" style="170" customWidth="1"/>
    <col min="7427" max="7427" width="7.75" style="170" customWidth="1"/>
    <col min="7428" max="7428" width="17.375" style="170" customWidth="1"/>
    <col min="7429" max="7429" width="14.75" style="170" customWidth="1"/>
    <col min="7430" max="7430" width="19.375" style="170" customWidth="1"/>
    <col min="7431" max="7431" width="18.25" style="170" bestFit="1" customWidth="1"/>
    <col min="7432" max="7432" width="14" style="170" customWidth="1"/>
    <col min="7433" max="7433" width="7.75" style="170" customWidth="1"/>
    <col min="7434" max="7434" width="22.875" style="170" customWidth="1"/>
    <col min="7435" max="7435" width="14" style="170" customWidth="1"/>
    <col min="7436" max="7436" width="18.625" style="170" customWidth="1"/>
    <col min="7437" max="7437" width="17.25" style="170" customWidth="1"/>
    <col min="7438" max="7438" width="7.75" style="170" customWidth="1"/>
    <col min="7439" max="7439" width="22.125" style="170" bestFit="1" customWidth="1"/>
    <col min="7440" max="7440" width="10.375" style="170" customWidth="1"/>
    <col min="7441" max="7442" width="9" style="170" customWidth="1"/>
    <col min="7443" max="7443" width="15" style="170" customWidth="1"/>
    <col min="7444" max="7444" width="30.125" style="170" bestFit="1" customWidth="1"/>
    <col min="7445" max="7445" width="34.875" style="170" customWidth="1"/>
    <col min="7446" max="7446" width="19.375" style="170" bestFit="1" customWidth="1"/>
    <col min="7447" max="7447" width="11.75" style="170" customWidth="1"/>
    <col min="7448" max="7448" width="7.75" style="170" customWidth="1"/>
    <col min="7449" max="7449" width="24.125" style="170" customWidth="1"/>
    <col min="7450" max="7450" width="27.375" style="170" customWidth="1"/>
    <col min="7451" max="7451" width="7.625" style="170" customWidth="1"/>
    <col min="7452" max="7452" width="32.25" style="170" customWidth="1"/>
    <col min="7453" max="7453" width="24.375" style="170" customWidth="1"/>
    <col min="7454" max="7454" width="9" style="170" customWidth="1"/>
    <col min="7455" max="7455" width="11" style="170" customWidth="1"/>
    <col min="7456" max="7456" width="9" style="170" customWidth="1"/>
    <col min="7457" max="7457" width="29.125" style="170" bestFit="1" customWidth="1"/>
    <col min="7458" max="7458" width="24.875" style="170" bestFit="1" customWidth="1"/>
    <col min="7459" max="7461" width="9" style="170" customWidth="1"/>
    <col min="7462" max="7462" width="29.375" style="170" bestFit="1" customWidth="1"/>
    <col min="7463" max="7463" width="21.625" style="170" bestFit="1" customWidth="1"/>
    <col min="7464" max="7466" width="9" style="170" customWidth="1"/>
    <col min="7467" max="7467" width="26.375" style="170" bestFit="1" customWidth="1"/>
    <col min="7468" max="7468" width="18.25" style="170" bestFit="1" customWidth="1"/>
    <col min="7469" max="7469" width="22.875" style="170" bestFit="1" customWidth="1"/>
    <col min="7470" max="7646" width="8.75" style="170"/>
    <col min="7647" max="7647" width="4.875" style="170" bestFit="1" customWidth="1"/>
    <col min="7648" max="7648" width="60.625" style="170" customWidth="1"/>
    <col min="7649" max="7649" width="11.25" style="170" customWidth="1"/>
    <col min="7650" max="7656" width="12" style="170" customWidth="1"/>
    <col min="7657" max="7657" width="9" style="170" customWidth="1"/>
    <col min="7658" max="7658" width="12" style="170" customWidth="1"/>
    <col min="7659" max="7659" width="39.25" style="170" bestFit="1" customWidth="1"/>
    <col min="7660" max="7660" width="9.375" style="170" customWidth="1"/>
    <col min="7661" max="7661" width="12.875" style="170" customWidth="1"/>
    <col min="7662" max="7662" width="9.375" style="170" customWidth="1"/>
    <col min="7663" max="7663" width="10.125" style="170" customWidth="1"/>
    <col min="7664" max="7664" width="9.375" style="170" customWidth="1"/>
    <col min="7665" max="7665" width="8.25" style="170" customWidth="1"/>
    <col min="7666" max="7666" width="9.875" style="170" customWidth="1"/>
    <col min="7667" max="7667" width="10.625" style="170" bestFit="1" customWidth="1"/>
    <col min="7668" max="7668" width="28.125" style="170" bestFit="1" customWidth="1"/>
    <col min="7669" max="7669" width="39.25" style="170" bestFit="1" customWidth="1"/>
    <col min="7670" max="7670" width="9.375" style="170" customWidth="1"/>
    <col min="7671" max="7671" width="12.875" style="170" customWidth="1"/>
    <col min="7672" max="7672" width="9.375" style="170" customWidth="1"/>
    <col min="7673" max="7673" width="10.125" style="170" customWidth="1"/>
    <col min="7674" max="7674" width="9.375" style="170" customWidth="1"/>
    <col min="7675" max="7675" width="8.25" style="170" customWidth="1"/>
    <col min="7676" max="7676" width="9.875" style="170" customWidth="1"/>
    <col min="7677" max="7677" width="10.625" style="170" customWidth="1"/>
    <col min="7678" max="7678" width="20.75" style="170" customWidth="1"/>
    <col min="7679" max="7679" width="28.125" style="170" customWidth="1"/>
    <col min="7680" max="7680" width="39.25" style="170" bestFit="1" customWidth="1"/>
    <col min="7681" max="7681" width="10.375" style="170" customWidth="1"/>
    <col min="7682" max="7682" width="8.25" style="170" customWidth="1"/>
    <col min="7683" max="7683" width="7.75" style="170" customWidth="1"/>
    <col min="7684" max="7684" width="17.375" style="170" customWidth="1"/>
    <col min="7685" max="7685" width="14.75" style="170" customWidth="1"/>
    <col min="7686" max="7686" width="19.375" style="170" customWidth="1"/>
    <col min="7687" max="7687" width="18.25" style="170" bestFit="1" customWidth="1"/>
    <col min="7688" max="7688" width="14" style="170" customWidth="1"/>
    <col min="7689" max="7689" width="7.75" style="170" customWidth="1"/>
    <col min="7690" max="7690" width="22.875" style="170" customWidth="1"/>
    <col min="7691" max="7691" width="14" style="170" customWidth="1"/>
    <col min="7692" max="7692" width="18.625" style="170" customWidth="1"/>
    <col min="7693" max="7693" width="17.25" style="170" customWidth="1"/>
    <col min="7694" max="7694" width="7.75" style="170" customWidth="1"/>
    <col min="7695" max="7695" width="22.125" style="170" bestFit="1" customWidth="1"/>
    <col min="7696" max="7696" width="10.375" style="170" customWidth="1"/>
    <col min="7697" max="7698" width="9" style="170" customWidth="1"/>
    <col min="7699" max="7699" width="15" style="170" customWidth="1"/>
    <col min="7700" max="7700" width="30.125" style="170" bestFit="1" customWidth="1"/>
    <col min="7701" max="7701" width="34.875" style="170" customWidth="1"/>
    <col min="7702" max="7702" width="19.375" style="170" bestFit="1" customWidth="1"/>
    <col min="7703" max="7703" width="11.75" style="170" customWidth="1"/>
    <col min="7704" max="7704" width="7.75" style="170" customWidth="1"/>
    <col min="7705" max="7705" width="24.125" style="170" customWidth="1"/>
    <col min="7706" max="7706" width="27.375" style="170" customWidth="1"/>
    <col min="7707" max="7707" width="7.625" style="170" customWidth="1"/>
    <col min="7708" max="7708" width="32.25" style="170" customWidth="1"/>
    <col min="7709" max="7709" width="24.375" style="170" customWidth="1"/>
    <col min="7710" max="7710" width="9" style="170" customWidth="1"/>
    <col min="7711" max="7711" width="11" style="170" customWidth="1"/>
    <col min="7712" max="7712" width="9" style="170" customWidth="1"/>
    <col min="7713" max="7713" width="29.125" style="170" bestFit="1" customWidth="1"/>
    <col min="7714" max="7714" width="24.875" style="170" bestFit="1" customWidth="1"/>
    <col min="7715" max="7717" width="9" style="170" customWidth="1"/>
    <col min="7718" max="7718" width="29.375" style="170" bestFit="1" customWidth="1"/>
    <col min="7719" max="7719" width="21.625" style="170" bestFit="1" customWidth="1"/>
    <col min="7720" max="7722" width="9" style="170" customWidth="1"/>
    <col min="7723" max="7723" width="26.375" style="170" bestFit="1" customWidth="1"/>
    <col min="7724" max="7724" width="18.25" style="170" bestFit="1" customWidth="1"/>
    <col min="7725" max="7725" width="22.875" style="170" bestFit="1" customWidth="1"/>
    <col min="7726" max="7902" width="8.75" style="170"/>
    <col min="7903" max="7903" width="4.875" style="170" bestFit="1" customWidth="1"/>
    <col min="7904" max="7904" width="60.625" style="170" customWidth="1"/>
    <col min="7905" max="7905" width="11.25" style="170" customWidth="1"/>
    <col min="7906" max="7912" width="12" style="170" customWidth="1"/>
    <col min="7913" max="7913" width="9" style="170" customWidth="1"/>
    <col min="7914" max="7914" width="12" style="170" customWidth="1"/>
    <col min="7915" max="7915" width="39.25" style="170" bestFit="1" customWidth="1"/>
    <col min="7916" max="7916" width="9.375" style="170" customWidth="1"/>
    <col min="7917" max="7917" width="12.875" style="170" customWidth="1"/>
    <col min="7918" max="7918" width="9.375" style="170" customWidth="1"/>
    <col min="7919" max="7919" width="10.125" style="170" customWidth="1"/>
    <col min="7920" max="7920" width="9.375" style="170" customWidth="1"/>
    <col min="7921" max="7921" width="8.25" style="170" customWidth="1"/>
    <col min="7922" max="7922" width="9.875" style="170" customWidth="1"/>
    <col min="7923" max="7923" width="10.625" style="170" bestFit="1" customWidth="1"/>
    <col min="7924" max="7924" width="28.125" style="170" bestFit="1" customWidth="1"/>
    <col min="7925" max="7925" width="39.25" style="170" bestFit="1" customWidth="1"/>
    <col min="7926" max="7926" width="9.375" style="170" customWidth="1"/>
    <col min="7927" max="7927" width="12.875" style="170" customWidth="1"/>
    <col min="7928" max="7928" width="9.375" style="170" customWidth="1"/>
    <col min="7929" max="7929" width="10.125" style="170" customWidth="1"/>
    <col min="7930" max="7930" width="9.375" style="170" customWidth="1"/>
    <col min="7931" max="7931" width="8.25" style="170" customWidth="1"/>
    <col min="7932" max="7932" width="9.875" style="170" customWidth="1"/>
    <col min="7933" max="7933" width="10.625" style="170" customWidth="1"/>
    <col min="7934" max="7934" width="20.75" style="170" customWidth="1"/>
    <col min="7935" max="7935" width="28.125" style="170" customWidth="1"/>
    <col min="7936" max="7936" width="39.25" style="170" bestFit="1" customWidth="1"/>
    <col min="7937" max="7937" width="10.375" style="170" customWidth="1"/>
    <col min="7938" max="7938" width="8.25" style="170" customWidth="1"/>
    <col min="7939" max="7939" width="7.75" style="170" customWidth="1"/>
    <col min="7940" max="7940" width="17.375" style="170" customWidth="1"/>
    <col min="7941" max="7941" width="14.75" style="170" customWidth="1"/>
    <col min="7942" max="7942" width="19.375" style="170" customWidth="1"/>
    <col min="7943" max="7943" width="18.25" style="170" bestFit="1" customWidth="1"/>
    <col min="7944" max="7944" width="14" style="170" customWidth="1"/>
    <col min="7945" max="7945" width="7.75" style="170" customWidth="1"/>
    <col min="7946" max="7946" width="22.875" style="170" customWidth="1"/>
    <col min="7947" max="7947" width="14" style="170" customWidth="1"/>
    <col min="7948" max="7948" width="18.625" style="170" customWidth="1"/>
    <col min="7949" max="7949" width="17.25" style="170" customWidth="1"/>
    <col min="7950" max="7950" width="7.75" style="170" customWidth="1"/>
    <col min="7951" max="7951" width="22.125" style="170" bestFit="1" customWidth="1"/>
    <col min="7952" max="7952" width="10.375" style="170" customWidth="1"/>
    <col min="7953" max="7954" width="9" style="170" customWidth="1"/>
    <col min="7955" max="7955" width="15" style="170" customWidth="1"/>
    <col min="7956" max="7956" width="30.125" style="170" bestFit="1" customWidth="1"/>
    <col min="7957" max="7957" width="34.875" style="170" customWidth="1"/>
    <col min="7958" max="7958" width="19.375" style="170" bestFit="1" customWidth="1"/>
    <col min="7959" max="7959" width="11.75" style="170" customWidth="1"/>
    <col min="7960" max="7960" width="7.75" style="170" customWidth="1"/>
    <col min="7961" max="7961" width="24.125" style="170" customWidth="1"/>
    <col min="7962" max="7962" width="27.375" style="170" customWidth="1"/>
    <col min="7963" max="7963" width="7.625" style="170" customWidth="1"/>
    <col min="7964" max="7964" width="32.25" style="170" customWidth="1"/>
    <col min="7965" max="7965" width="24.375" style="170" customWidth="1"/>
    <col min="7966" max="7966" width="9" style="170" customWidth="1"/>
    <col min="7967" max="7967" width="11" style="170" customWidth="1"/>
    <col min="7968" max="7968" width="9" style="170" customWidth="1"/>
    <col min="7969" max="7969" width="29.125" style="170" bestFit="1" customWidth="1"/>
    <col min="7970" max="7970" width="24.875" style="170" bestFit="1" customWidth="1"/>
    <col min="7971" max="7973" width="9" style="170" customWidth="1"/>
    <col min="7974" max="7974" width="29.375" style="170" bestFit="1" customWidth="1"/>
    <col min="7975" max="7975" width="21.625" style="170" bestFit="1" customWidth="1"/>
    <col min="7976" max="7978" width="9" style="170" customWidth="1"/>
    <col min="7979" max="7979" width="26.375" style="170" bestFit="1" customWidth="1"/>
    <col min="7980" max="7980" width="18.25" style="170" bestFit="1" customWidth="1"/>
    <col min="7981" max="7981" width="22.875" style="170" bestFit="1" customWidth="1"/>
    <col min="7982" max="8158" width="8.75" style="170"/>
    <col min="8159" max="8159" width="4.875" style="170" bestFit="1" customWidth="1"/>
    <col min="8160" max="8160" width="60.625" style="170" customWidth="1"/>
    <col min="8161" max="8161" width="11.25" style="170" customWidth="1"/>
    <col min="8162" max="8168" width="12" style="170" customWidth="1"/>
    <col min="8169" max="8169" width="9" style="170" customWidth="1"/>
    <col min="8170" max="8170" width="12" style="170" customWidth="1"/>
    <col min="8171" max="8171" width="39.25" style="170" bestFit="1" customWidth="1"/>
    <col min="8172" max="8172" width="9.375" style="170" customWidth="1"/>
    <col min="8173" max="8173" width="12.875" style="170" customWidth="1"/>
    <col min="8174" max="8174" width="9.375" style="170" customWidth="1"/>
    <col min="8175" max="8175" width="10.125" style="170" customWidth="1"/>
    <col min="8176" max="8176" width="9.375" style="170" customWidth="1"/>
    <col min="8177" max="8177" width="8.25" style="170" customWidth="1"/>
    <col min="8178" max="8178" width="9.875" style="170" customWidth="1"/>
    <col min="8179" max="8179" width="10.625" style="170" bestFit="1" customWidth="1"/>
    <col min="8180" max="8180" width="28.125" style="170" bestFit="1" customWidth="1"/>
    <col min="8181" max="8181" width="39.25" style="170" bestFit="1" customWidth="1"/>
    <col min="8182" max="8182" width="9.375" style="170" customWidth="1"/>
    <col min="8183" max="8183" width="12.875" style="170" customWidth="1"/>
    <col min="8184" max="8184" width="9.375" style="170" customWidth="1"/>
    <col min="8185" max="8185" width="10.125" style="170" customWidth="1"/>
    <col min="8186" max="8186" width="9.375" style="170" customWidth="1"/>
    <col min="8187" max="8187" width="8.25" style="170" customWidth="1"/>
    <col min="8188" max="8188" width="9.875" style="170" customWidth="1"/>
    <col min="8189" max="8189" width="10.625" style="170" customWidth="1"/>
    <col min="8190" max="8190" width="20.75" style="170" customWidth="1"/>
    <col min="8191" max="8191" width="28.125" style="170" customWidth="1"/>
    <col min="8192" max="8192" width="39.25" style="170" bestFit="1" customWidth="1"/>
    <col min="8193" max="8193" width="10.375" style="170" customWidth="1"/>
    <col min="8194" max="8194" width="8.25" style="170" customWidth="1"/>
    <col min="8195" max="8195" width="7.75" style="170" customWidth="1"/>
    <col min="8196" max="8196" width="17.375" style="170" customWidth="1"/>
    <col min="8197" max="8197" width="14.75" style="170" customWidth="1"/>
    <col min="8198" max="8198" width="19.375" style="170" customWidth="1"/>
    <col min="8199" max="8199" width="18.25" style="170" bestFit="1" customWidth="1"/>
    <col min="8200" max="8200" width="14" style="170" customWidth="1"/>
    <col min="8201" max="8201" width="7.75" style="170" customWidth="1"/>
    <col min="8202" max="8202" width="22.875" style="170" customWidth="1"/>
    <col min="8203" max="8203" width="14" style="170" customWidth="1"/>
    <col min="8204" max="8204" width="18.625" style="170" customWidth="1"/>
    <col min="8205" max="8205" width="17.25" style="170" customWidth="1"/>
    <col min="8206" max="8206" width="7.75" style="170" customWidth="1"/>
    <col min="8207" max="8207" width="22.125" style="170" bestFit="1" customWidth="1"/>
    <col min="8208" max="8208" width="10.375" style="170" customWidth="1"/>
    <col min="8209" max="8210" width="9" style="170" customWidth="1"/>
    <col min="8211" max="8211" width="15" style="170" customWidth="1"/>
    <col min="8212" max="8212" width="30.125" style="170" bestFit="1" customWidth="1"/>
    <col min="8213" max="8213" width="34.875" style="170" customWidth="1"/>
    <col min="8214" max="8214" width="19.375" style="170" bestFit="1" customWidth="1"/>
    <col min="8215" max="8215" width="11.75" style="170" customWidth="1"/>
    <col min="8216" max="8216" width="7.75" style="170" customWidth="1"/>
    <col min="8217" max="8217" width="24.125" style="170" customWidth="1"/>
    <col min="8218" max="8218" width="27.375" style="170" customWidth="1"/>
    <col min="8219" max="8219" width="7.625" style="170" customWidth="1"/>
    <col min="8220" max="8220" width="32.25" style="170" customWidth="1"/>
    <col min="8221" max="8221" width="24.375" style="170" customWidth="1"/>
    <col min="8222" max="8222" width="9" style="170" customWidth="1"/>
    <col min="8223" max="8223" width="11" style="170" customWidth="1"/>
    <col min="8224" max="8224" width="9" style="170" customWidth="1"/>
    <col min="8225" max="8225" width="29.125" style="170" bestFit="1" customWidth="1"/>
    <col min="8226" max="8226" width="24.875" style="170" bestFit="1" customWidth="1"/>
    <col min="8227" max="8229" width="9" style="170" customWidth="1"/>
    <col min="8230" max="8230" width="29.375" style="170" bestFit="1" customWidth="1"/>
    <col min="8231" max="8231" width="21.625" style="170" bestFit="1" customWidth="1"/>
    <col min="8232" max="8234" width="9" style="170" customWidth="1"/>
    <col min="8235" max="8235" width="26.375" style="170" bestFit="1" customWidth="1"/>
    <col min="8236" max="8236" width="18.25" style="170" bestFit="1" customWidth="1"/>
    <col min="8237" max="8237" width="22.875" style="170" bestFit="1" customWidth="1"/>
    <col min="8238" max="8414" width="8.75" style="170"/>
    <col min="8415" max="8415" width="4.875" style="170" bestFit="1" customWidth="1"/>
    <col min="8416" max="8416" width="60.625" style="170" customWidth="1"/>
    <col min="8417" max="8417" width="11.25" style="170" customWidth="1"/>
    <col min="8418" max="8424" width="12" style="170" customWidth="1"/>
    <col min="8425" max="8425" width="9" style="170" customWidth="1"/>
    <col min="8426" max="8426" width="12" style="170" customWidth="1"/>
    <col min="8427" max="8427" width="39.25" style="170" bestFit="1" customWidth="1"/>
    <col min="8428" max="8428" width="9.375" style="170" customWidth="1"/>
    <col min="8429" max="8429" width="12.875" style="170" customWidth="1"/>
    <col min="8430" max="8430" width="9.375" style="170" customWidth="1"/>
    <col min="8431" max="8431" width="10.125" style="170" customWidth="1"/>
    <col min="8432" max="8432" width="9.375" style="170" customWidth="1"/>
    <col min="8433" max="8433" width="8.25" style="170" customWidth="1"/>
    <col min="8434" max="8434" width="9.875" style="170" customWidth="1"/>
    <col min="8435" max="8435" width="10.625" style="170" bestFit="1" customWidth="1"/>
    <col min="8436" max="8436" width="28.125" style="170" bestFit="1" customWidth="1"/>
    <col min="8437" max="8437" width="39.25" style="170" bestFit="1" customWidth="1"/>
    <col min="8438" max="8438" width="9.375" style="170" customWidth="1"/>
    <col min="8439" max="8439" width="12.875" style="170" customWidth="1"/>
    <col min="8440" max="8440" width="9.375" style="170" customWidth="1"/>
    <col min="8441" max="8441" width="10.125" style="170" customWidth="1"/>
    <col min="8442" max="8442" width="9.375" style="170" customWidth="1"/>
    <col min="8443" max="8443" width="8.25" style="170" customWidth="1"/>
    <col min="8444" max="8444" width="9.875" style="170" customWidth="1"/>
    <col min="8445" max="8445" width="10.625" style="170" customWidth="1"/>
    <col min="8446" max="8446" width="20.75" style="170" customWidth="1"/>
    <col min="8447" max="8447" width="28.125" style="170" customWidth="1"/>
    <col min="8448" max="8448" width="39.25" style="170" bestFit="1" customWidth="1"/>
    <col min="8449" max="8449" width="10.375" style="170" customWidth="1"/>
    <col min="8450" max="8450" width="8.25" style="170" customWidth="1"/>
    <col min="8451" max="8451" width="7.75" style="170" customWidth="1"/>
    <col min="8452" max="8452" width="17.375" style="170" customWidth="1"/>
    <col min="8453" max="8453" width="14.75" style="170" customWidth="1"/>
    <col min="8454" max="8454" width="19.375" style="170" customWidth="1"/>
    <col min="8455" max="8455" width="18.25" style="170" bestFit="1" customWidth="1"/>
    <col min="8456" max="8456" width="14" style="170" customWidth="1"/>
    <col min="8457" max="8457" width="7.75" style="170" customWidth="1"/>
    <col min="8458" max="8458" width="22.875" style="170" customWidth="1"/>
    <col min="8459" max="8459" width="14" style="170" customWidth="1"/>
    <col min="8460" max="8460" width="18.625" style="170" customWidth="1"/>
    <col min="8461" max="8461" width="17.25" style="170" customWidth="1"/>
    <col min="8462" max="8462" width="7.75" style="170" customWidth="1"/>
    <col min="8463" max="8463" width="22.125" style="170" bestFit="1" customWidth="1"/>
    <col min="8464" max="8464" width="10.375" style="170" customWidth="1"/>
    <col min="8465" max="8466" width="9" style="170" customWidth="1"/>
    <col min="8467" max="8467" width="15" style="170" customWidth="1"/>
    <col min="8468" max="8468" width="30.125" style="170" bestFit="1" customWidth="1"/>
    <col min="8469" max="8469" width="34.875" style="170" customWidth="1"/>
    <col min="8470" max="8470" width="19.375" style="170" bestFit="1" customWidth="1"/>
    <col min="8471" max="8471" width="11.75" style="170" customWidth="1"/>
    <col min="8472" max="8472" width="7.75" style="170" customWidth="1"/>
    <col min="8473" max="8473" width="24.125" style="170" customWidth="1"/>
    <col min="8474" max="8474" width="27.375" style="170" customWidth="1"/>
    <col min="8475" max="8475" width="7.625" style="170" customWidth="1"/>
    <col min="8476" max="8476" width="32.25" style="170" customWidth="1"/>
    <col min="8477" max="8477" width="24.375" style="170" customWidth="1"/>
    <col min="8478" max="8478" width="9" style="170" customWidth="1"/>
    <col min="8479" max="8479" width="11" style="170" customWidth="1"/>
    <col min="8480" max="8480" width="9" style="170" customWidth="1"/>
    <col min="8481" max="8481" width="29.125" style="170" bestFit="1" customWidth="1"/>
    <col min="8482" max="8482" width="24.875" style="170" bestFit="1" customWidth="1"/>
    <col min="8483" max="8485" width="9" style="170" customWidth="1"/>
    <col min="8486" max="8486" width="29.375" style="170" bestFit="1" customWidth="1"/>
    <col min="8487" max="8487" width="21.625" style="170" bestFit="1" customWidth="1"/>
    <col min="8488" max="8490" width="9" style="170" customWidth="1"/>
    <col min="8491" max="8491" width="26.375" style="170" bestFit="1" customWidth="1"/>
    <col min="8492" max="8492" width="18.25" style="170" bestFit="1" customWidth="1"/>
    <col min="8493" max="8493" width="22.875" style="170" bestFit="1" customWidth="1"/>
    <col min="8494" max="8670" width="8.75" style="170"/>
    <col min="8671" max="8671" width="4.875" style="170" bestFit="1" customWidth="1"/>
    <col min="8672" max="8672" width="60.625" style="170" customWidth="1"/>
    <col min="8673" max="8673" width="11.25" style="170" customWidth="1"/>
    <col min="8674" max="8680" width="12" style="170" customWidth="1"/>
    <col min="8681" max="8681" width="9" style="170" customWidth="1"/>
    <col min="8682" max="8682" width="12" style="170" customWidth="1"/>
    <col min="8683" max="8683" width="39.25" style="170" bestFit="1" customWidth="1"/>
    <col min="8684" max="8684" width="9.375" style="170" customWidth="1"/>
    <col min="8685" max="8685" width="12.875" style="170" customWidth="1"/>
    <col min="8686" max="8686" width="9.375" style="170" customWidth="1"/>
    <col min="8687" max="8687" width="10.125" style="170" customWidth="1"/>
    <col min="8688" max="8688" width="9.375" style="170" customWidth="1"/>
    <col min="8689" max="8689" width="8.25" style="170" customWidth="1"/>
    <col min="8690" max="8690" width="9.875" style="170" customWidth="1"/>
    <col min="8691" max="8691" width="10.625" style="170" bestFit="1" customWidth="1"/>
    <col min="8692" max="8692" width="28.125" style="170" bestFit="1" customWidth="1"/>
    <col min="8693" max="8693" width="39.25" style="170" bestFit="1" customWidth="1"/>
    <col min="8694" max="8694" width="9.375" style="170" customWidth="1"/>
    <col min="8695" max="8695" width="12.875" style="170" customWidth="1"/>
    <col min="8696" max="8696" width="9.375" style="170" customWidth="1"/>
    <col min="8697" max="8697" width="10.125" style="170" customWidth="1"/>
    <col min="8698" max="8698" width="9.375" style="170" customWidth="1"/>
    <col min="8699" max="8699" width="8.25" style="170" customWidth="1"/>
    <col min="8700" max="8700" width="9.875" style="170" customWidth="1"/>
    <col min="8701" max="8701" width="10.625" style="170" customWidth="1"/>
    <col min="8702" max="8702" width="20.75" style="170" customWidth="1"/>
    <col min="8703" max="8703" width="28.125" style="170" customWidth="1"/>
    <col min="8704" max="8704" width="39.25" style="170" bestFit="1" customWidth="1"/>
    <col min="8705" max="8705" width="10.375" style="170" customWidth="1"/>
    <col min="8706" max="8706" width="8.25" style="170" customWidth="1"/>
    <col min="8707" max="8707" width="7.75" style="170" customWidth="1"/>
    <col min="8708" max="8708" width="17.375" style="170" customWidth="1"/>
    <col min="8709" max="8709" width="14.75" style="170" customWidth="1"/>
    <col min="8710" max="8710" width="19.375" style="170" customWidth="1"/>
    <col min="8711" max="8711" width="18.25" style="170" bestFit="1" customWidth="1"/>
    <col min="8712" max="8712" width="14" style="170" customWidth="1"/>
    <col min="8713" max="8713" width="7.75" style="170" customWidth="1"/>
    <col min="8714" max="8714" width="22.875" style="170" customWidth="1"/>
    <col min="8715" max="8715" width="14" style="170" customWidth="1"/>
    <col min="8716" max="8716" width="18.625" style="170" customWidth="1"/>
    <col min="8717" max="8717" width="17.25" style="170" customWidth="1"/>
    <col min="8718" max="8718" width="7.75" style="170" customWidth="1"/>
    <col min="8719" max="8719" width="22.125" style="170" bestFit="1" customWidth="1"/>
    <col min="8720" max="8720" width="10.375" style="170" customWidth="1"/>
    <col min="8721" max="8722" width="9" style="170" customWidth="1"/>
    <col min="8723" max="8723" width="15" style="170" customWidth="1"/>
    <col min="8724" max="8724" width="30.125" style="170" bestFit="1" customWidth="1"/>
    <col min="8725" max="8725" width="34.875" style="170" customWidth="1"/>
    <col min="8726" max="8726" width="19.375" style="170" bestFit="1" customWidth="1"/>
    <col min="8727" max="8727" width="11.75" style="170" customWidth="1"/>
    <col min="8728" max="8728" width="7.75" style="170" customWidth="1"/>
    <col min="8729" max="8729" width="24.125" style="170" customWidth="1"/>
    <col min="8730" max="8730" width="27.375" style="170" customWidth="1"/>
    <col min="8731" max="8731" width="7.625" style="170" customWidth="1"/>
    <col min="8732" max="8732" width="32.25" style="170" customWidth="1"/>
    <col min="8733" max="8733" width="24.375" style="170" customWidth="1"/>
    <col min="8734" max="8734" width="9" style="170" customWidth="1"/>
    <col min="8735" max="8735" width="11" style="170" customWidth="1"/>
    <col min="8736" max="8736" width="9" style="170" customWidth="1"/>
    <col min="8737" max="8737" width="29.125" style="170" bestFit="1" customWidth="1"/>
    <col min="8738" max="8738" width="24.875" style="170" bestFit="1" customWidth="1"/>
    <col min="8739" max="8741" width="9" style="170" customWidth="1"/>
    <col min="8742" max="8742" width="29.375" style="170" bestFit="1" customWidth="1"/>
    <col min="8743" max="8743" width="21.625" style="170" bestFit="1" customWidth="1"/>
    <col min="8744" max="8746" width="9" style="170" customWidth="1"/>
    <col min="8747" max="8747" width="26.375" style="170" bestFit="1" customWidth="1"/>
    <col min="8748" max="8748" width="18.25" style="170" bestFit="1" customWidth="1"/>
    <col min="8749" max="8749" width="22.875" style="170" bestFit="1" customWidth="1"/>
    <col min="8750" max="8926" width="8.75" style="170"/>
    <col min="8927" max="8927" width="4.875" style="170" bestFit="1" customWidth="1"/>
    <col min="8928" max="8928" width="60.625" style="170" customWidth="1"/>
    <col min="8929" max="8929" width="11.25" style="170" customWidth="1"/>
    <col min="8930" max="8936" width="12" style="170" customWidth="1"/>
    <col min="8937" max="8937" width="9" style="170" customWidth="1"/>
    <col min="8938" max="8938" width="12" style="170" customWidth="1"/>
    <col min="8939" max="8939" width="39.25" style="170" bestFit="1" customWidth="1"/>
    <col min="8940" max="8940" width="9.375" style="170" customWidth="1"/>
    <col min="8941" max="8941" width="12.875" style="170" customWidth="1"/>
    <col min="8942" max="8942" width="9.375" style="170" customWidth="1"/>
    <col min="8943" max="8943" width="10.125" style="170" customWidth="1"/>
    <col min="8944" max="8944" width="9.375" style="170" customWidth="1"/>
    <col min="8945" max="8945" width="8.25" style="170" customWidth="1"/>
    <col min="8946" max="8946" width="9.875" style="170" customWidth="1"/>
    <col min="8947" max="8947" width="10.625" style="170" bestFit="1" customWidth="1"/>
    <col min="8948" max="8948" width="28.125" style="170" bestFit="1" customWidth="1"/>
    <col min="8949" max="8949" width="39.25" style="170" bestFit="1" customWidth="1"/>
    <col min="8950" max="8950" width="9.375" style="170" customWidth="1"/>
    <col min="8951" max="8951" width="12.875" style="170" customWidth="1"/>
    <col min="8952" max="8952" width="9.375" style="170" customWidth="1"/>
    <col min="8953" max="8953" width="10.125" style="170" customWidth="1"/>
    <col min="8954" max="8954" width="9.375" style="170" customWidth="1"/>
    <col min="8955" max="8955" width="8.25" style="170" customWidth="1"/>
    <col min="8956" max="8956" width="9.875" style="170" customWidth="1"/>
    <col min="8957" max="8957" width="10.625" style="170" customWidth="1"/>
    <col min="8958" max="8958" width="20.75" style="170" customWidth="1"/>
    <col min="8959" max="8959" width="28.125" style="170" customWidth="1"/>
    <col min="8960" max="8960" width="39.25" style="170" bestFit="1" customWidth="1"/>
    <col min="8961" max="8961" width="10.375" style="170" customWidth="1"/>
    <col min="8962" max="8962" width="8.25" style="170" customWidth="1"/>
    <col min="8963" max="8963" width="7.75" style="170" customWidth="1"/>
    <col min="8964" max="8964" width="17.375" style="170" customWidth="1"/>
    <col min="8965" max="8965" width="14.75" style="170" customWidth="1"/>
    <col min="8966" max="8966" width="19.375" style="170" customWidth="1"/>
    <col min="8967" max="8967" width="18.25" style="170" bestFit="1" customWidth="1"/>
    <col min="8968" max="8968" width="14" style="170" customWidth="1"/>
    <col min="8969" max="8969" width="7.75" style="170" customWidth="1"/>
    <col min="8970" max="8970" width="22.875" style="170" customWidth="1"/>
    <col min="8971" max="8971" width="14" style="170" customWidth="1"/>
    <col min="8972" max="8972" width="18.625" style="170" customWidth="1"/>
    <col min="8973" max="8973" width="17.25" style="170" customWidth="1"/>
    <col min="8974" max="8974" width="7.75" style="170" customWidth="1"/>
    <col min="8975" max="8975" width="22.125" style="170" bestFit="1" customWidth="1"/>
    <col min="8976" max="8976" width="10.375" style="170" customWidth="1"/>
    <col min="8977" max="8978" width="9" style="170" customWidth="1"/>
    <col min="8979" max="8979" width="15" style="170" customWidth="1"/>
    <col min="8980" max="8980" width="30.125" style="170" bestFit="1" customWidth="1"/>
    <col min="8981" max="8981" width="34.875" style="170" customWidth="1"/>
    <col min="8982" max="8982" width="19.375" style="170" bestFit="1" customWidth="1"/>
    <col min="8983" max="8983" width="11.75" style="170" customWidth="1"/>
    <col min="8984" max="8984" width="7.75" style="170" customWidth="1"/>
    <col min="8985" max="8985" width="24.125" style="170" customWidth="1"/>
    <col min="8986" max="8986" width="27.375" style="170" customWidth="1"/>
    <col min="8987" max="8987" width="7.625" style="170" customWidth="1"/>
    <col min="8988" max="8988" width="32.25" style="170" customWidth="1"/>
    <col min="8989" max="8989" width="24.375" style="170" customWidth="1"/>
    <col min="8990" max="8990" width="9" style="170" customWidth="1"/>
    <col min="8991" max="8991" width="11" style="170" customWidth="1"/>
    <col min="8992" max="8992" width="9" style="170" customWidth="1"/>
    <col min="8993" max="8993" width="29.125" style="170" bestFit="1" customWidth="1"/>
    <col min="8994" max="8994" width="24.875" style="170" bestFit="1" customWidth="1"/>
    <col min="8995" max="8997" width="9" style="170" customWidth="1"/>
    <col min="8998" max="8998" width="29.375" style="170" bestFit="1" customWidth="1"/>
    <col min="8999" max="8999" width="21.625" style="170" bestFit="1" customWidth="1"/>
    <col min="9000" max="9002" width="9" style="170" customWidth="1"/>
    <col min="9003" max="9003" width="26.375" style="170" bestFit="1" customWidth="1"/>
    <col min="9004" max="9004" width="18.25" style="170" bestFit="1" customWidth="1"/>
    <col min="9005" max="9005" width="22.875" style="170" bestFit="1" customWidth="1"/>
    <col min="9006" max="9182" width="8.75" style="170"/>
    <col min="9183" max="9183" width="4.875" style="170" bestFit="1" customWidth="1"/>
    <col min="9184" max="9184" width="60.625" style="170" customWidth="1"/>
    <col min="9185" max="9185" width="11.25" style="170" customWidth="1"/>
    <col min="9186" max="9192" width="12" style="170" customWidth="1"/>
    <col min="9193" max="9193" width="9" style="170" customWidth="1"/>
    <col min="9194" max="9194" width="12" style="170" customWidth="1"/>
    <col min="9195" max="9195" width="39.25" style="170" bestFit="1" customWidth="1"/>
    <col min="9196" max="9196" width="9.375" style="170" customWidth="1"/>
    <col min="9197" max="9197" width="12.875" style="170" customWidth="1"/>
    <col min="9198" max="9198" width="9.375" style="170" customWidth="1"/>
    <col min="9199" max="9199" width="10.125" style="170" customWidth="1"/>
    <col min="9200" max="9200" width="9.375" style="170" customWidth="1"/>
    <col min="9201" max="9201" width="8.25" style="170" customWidth="1"/>
    <col min="9202" max="9202" width="9.875" style="170" customWidth="1"/>
    <col min="9203" max="9203" width="10.625" style="170" bestFit="1" customWidth="1"/>
    <col min="9204" max="9204" width="28.125" style="170" bestFit="1" customWidth="1"/>
    <col min="9205" max="9205" width="39.25" style="170" bestFit="1" customWidth="1"/>
    <col min="9206" max="9206" width="9.375" style="170" customWidth="1"/>
    <col min="9207" max="9207" width="12.875" style="170" customWidth="1"/>
    <col min="9208" max="9208" width="9.375" style="170" customWidth="1"/>
    <col min="9209" max="9209" width="10.125" style="170" customWidth="1"/>
    <col min="9210" max="9210" width="9.375" style="170" customWidth="1"/>
    <col min="9211" max="9211" width="8.25" style="170" customWidth="1"/>
    <col min="9212" max="9212" width="9.875" style="170" customWidth="1"/>
    <col min="9213" max="9213" width="10.625" style="170" customWidth="1"/>
    <col min="9214" max="9214" width="20.75" style="170" customWidth="1"/>
    <col min="9215" max="9215" width="28.125" style="170" customWidth="1"/>
    <col min="9216" max="9216" width="39.25" style="170" bestFit="1" customWidth="1"/>
    <col min="9217" max="9217" width="10.375" style="170" customWidth="1"/>
    <col min="9218" max="9218" width="8.25" style="170" customWidth="1"/>
    <col min="9219" max="9219" width="7.75" style="170" customWidth="1"/>
    <col min="9220" max="9220" width="17.375" style="170" customWidth="1"/>
    <col min="9221" max="9221" width="14.75" style="170" customWidth="1"/>
    <col min="9222" max="9222" width="19.375" style="170" customWidth="1"/>
    <col min="9223" max="9223" width="18.25" style="170" bestFit="1" customWidth="1"/>
    <col min="9224" max="9224" width="14" style="170" customWidth="1"/>
    <col min="9225" max="9225" width="7.75" style="170" customWidth="1"/>
    <col min="9226" max="9226" width="22.875" style="170" customWidth="1"/>
    <col min="9227" max="9227" width="14" style="170" customWidth="1"/>
    <col min="9228" max="9228" width="18.625" style="170" customWidth="1"/>
    <col min="9229" max="9229" width="17.25" style="170" customWidth="1"/>
    <col min="9230" max="9230" width="7.75" style="170" customWidth="1"/>
    <col min="9231" max="9231" width="22.125" style="170" bestFit="1" customWidth="1"/>
    <col min="9232" max="9232" width="10.375" style="170" customWidth="1"/>
    <col min="9233" max="9234" width="9" style="170" customWidth="1"/>
    <col min="9235" max="9235" width="15" style="170" customWidth="1"/>
    <col min="9236" max="9236" width="30.125" style="170" bestFit="1" customWidth="1"/>
    <col min="9237" max="9237" width="34.875" style="170" customWidth="1"/>
    <col min="9238" max="9238" width="19.375" style="170" bestFit="1" customWidth="1"/>
    <col min="9239" max="9239" width="11.75" style="170" customWidth="1"/>
    <col min="9240" max="9240" width="7.75" style="170" customWidth="1"/>
    <col min="9241" max="9241" width="24.125" style="170" customWidth="1"/>
    <col min="9242" max="9242" width="27.375" style="170" customWidth="1"/>
    <col min="9243" max="9243" width="7.625" style="170" customWidth="1"/>
    <col min="9244" max="9244" width="32.25" style="170" customWidth="1"/>
    <col min="9245" max="9245" width="24.375" style="170" customWidth="1"/>
    <col min="9246" max="9246" width="9" style="170" customWidth="1"/>
    <col min="9247" max="9247" width="11" style="170" customWidth="1"/>
    <col min="9248" max="9248" width="9" style="170" customWidth="1"/>
    <col min="9249" max="9249" width="29.125" style="170" bestFit="1" customWidth="1"/>
    <col min="9250" max="9250" width="24.875" style="170" bestFit="1" customWidth="1"/>
    <col min="9251" max="9253" width="9" style="170" customWidth="1"/>
    <col min="9254" max="9254" width="29.375" style="170" bestFit="1" customWidth="1"/>
    <col min="9255" max="9255" width="21.625" style="170" bestFit="1" customWidth="1"/>
    <col min="9256" max="9258" width="9" style="170" customWidth="1"/>
    <col min="9259" max="9259" width="26.375" style="170" bestFit="1" customWidth="1"/>
    <col min="9260" max="9260" width="18.25" style="170" bestFit="1" customWidth="1"/>
    <col min="9261" max="9261" width="22.875" style="170" bestFit="1" customWidth="1"/>
    <col min="9262" max="9438" width="8.75" style="170"/>
    <col min="9439" max="9439" width="4.875" style="170" bestFit="1" customWidth="1"/>
    <col min="9440" max="9440" width="60.625" style="170" customWidth="1"/>
    <col min="9441" max="9441" width="11.25" style="170" customWidth="1"/>
    <col min="9442" max="9448" width="12" style="170" customWidth="1"/>
    <col min="9449" max="9449" width="9" style="170" customWidth="1"/>
    <col min="9450" max="9450" width="12" style="170" customWidth="1"/>
    <col min="9451" max="9451" width="39.25" style="170" bestFit="1" customWidth="1"/>
    <col min="9452" max="9452" width="9.375" style="170" customWidth="1"/>
    <col min="9453" max="9453" width="12.875" style="170" customWidth="1"/>
    <col min="9454" max="9454" width="9.375" style="170" customWidth="1"/>
    <col min="9455" max="9455" width="10.125" style="170" customWidth="1"/>
    <col min="9456" max="9456" width="9.375" style="170" customWidth="1"/>
    <col min="9457" max="9457" width="8.25" style="170" customWidth="1"/>
    <col min="9458" max="9458" width="9.875" style="170" customWidth="1"/>
    <col min="9459" max="9459" width="10.625" style="170" bestFit="1" customWidth="1"/>
    <col min="9460" max="9460" width="28.125" style="170" bestFit="1" customWidth="1"/>
    <col min="9461" max="9461" width="39.25" style="170" bestFit="1" customWidth="1"/>
    <col min="9462" max="9462" width="9.375" style="170" customWidth="1"/>
    <col min="9463" max="9463" width="12.875" style="170" customWidth="1"/>
    <col min="9464" max="9464" width="9.375" style="170" customWidth="1"/>
    <col min="9465" max="9465" width="10.125" style="170" customWidth="1"/>
    <col min="9466" max="9466" width="9.375" style="170" customWidth="1"/>
    <col min="9467" max="9467" width="8.25" style="170" customWidth="1"/>
    <col min="9468" max="9468" width="9.875" style="170" customWidth="1"/>
    <col min="9469" max="9469" width="10.625" style="170" customWidth="1"/>
    <col min="9470" max="9470" width="20.75" style="170" customWidth="1"/>
    <col min="9471" max="9471" width="28.125" style="170" customWidth="1"/>
    <col min="9472" max="9472" width="39.25" style="170" bestFit="1" customWidth="1"/>
    <col min="9473" max="9473" width="10.375" style="170" customWidth="1"/>
    <col min="9474" max="9474" width="8.25" style="170" customWidth="1"/>
    <col min="9475" max="9475" width="7.75" style="170" customWidth="1"/>
    <col min="9476" max="9476" width="17.375" style="170" customWidth="1"/>
    <col min="9477" max="9477" width="14.75" style="170" customWidth="1"/>
    <col min="9478" max="9478" width="19.375" style="170" customWidth="1"/>
    <col min="9479" max="9479" width="18.25" style="170" bestFit="1" customWidth="1"/>
    <col min="9480" max="9480" width="14" style="170" customWidth="1"/>
    <col min="9481" max="9481" width="7.75" style="170" customWidth="1"/>
    <col min="9482" max="9482" width="22.875" style="170" customWidth="1"/>
    <col min="9483" max="9483" width="14" style="170" customWidth="1"/>
    <col min="9484" max="9484" width="18.625" style="170" customWidth="1"/>
    <col min="9485" max="9485" width="17.25" style="170" customWidth="1"/>
    <col min="9486" max="9486" width="7.75" style="170" customWidth="1"/>
    <col min="9487" max="9487" width="22.125" style="170" bestFit="1" customWidth="1"/>
    <col min="9488" max="9488" width="10.375" style="170" customWidth="1"/>
    <col min="9489" max="9490" width="9" style="170" customWidth="1"/>
    <col min="9491" max="9491" width="15" style="170" customWidth="1"/>
    <col min="9492" max="9492" width="30.125" style="170" bestFit="1" customWidth="1"/>
    <col min="9493" max="9493" width="34.875" style="170" customWidth="1"/>
    <col min="9494" max="9494" width="19.375" style="170" bestFit="1" customWidth="1"/>
    <col min="9495" max="9495" width="11.75" style="170" customWidth="1"/>
    <col min="9496" max="9496" width="7.75" style="170" customWidth="1"/>
    <col min="9497" max="9497" width="24.125" style="170" customWidth="1"/>
    <col min="9498" max="9498" width="27.375" style="170" customWidth="1"/>
    <col min="9499" max="9499" width="7.625" style="170" customWidth="1"/>
    <col min="9500" max="9500" width="32.25" style="170" customWidth="1"/>
    <col min="9501" max="9501" width="24.375" style="170" customWidth="1"/>
    <col min="9502" max="9502" width="9" style="170" customWidth="1"/>
    <col min="9503" max="9503" width="11" style="170" customWidth="1"/>
    <col min="9504" max="9504" width="9" style="170" customWidth="1"/>
    <col min="9505" max="9505" width="29.125" style="170" bestFit="1" customWidth="1"/>
    <col min="9506" max="9506" width="24.875" style="170" bestFit="1" customWidth="1"/>
    <col min="9507" max="9509" width="9" style="170" customWidth="1"/>
    <col min="9510" max="9510" width="29.375" style="170" bestFit="1" customWidth="1"/>
    <col min="9511" max="9511" width="21.625" style="170" bestFit="1" customWidth="1"/>
    <col min="9512" max="9514" width="9" style="170" customWidth="1"/>
    <col min="9515" max="9515" width="26.375" style="170" bestFit="1" customWidth="1"/>
    <col min="9516" max="9516" width="18.25" style="170" bestFit="1" customWidth="1"/>
    <col min="9517" max="9517" width="22.875" style="170" bestFit="1" customWidth="1"/>
    <col min="9518" max="9694" width="8.75" style="170"/>
    <col min="9695" max="9695" width="4.875" style="170" bestFit="1" customWidth="1"/>
    <col min="9696" max="9696" width="60.625" style="170" customWidth="1"/>
    <col min="9697" max="9697" width="11.25" style="170" customWidth="1"/>
    <col min="9698" max="9704" width="12" style="170" customWidth="1"/>
    <col min="9705" max="9705" width="9" style="170" customWidth="1"/>
    <col min="9706" max="9706" width="12" style="170" customWidth="1"/>
    <col min="9707" max="9707" width="39.25" style="170" bestFit="1" customWidth="1"/>
    <col min="9708" max="9708" width="9.375" style="170" customWidth="1"/>
    <col min="9709" max="9709" width="12.875" style="170" customWidth="1"/>
    <col min="9710" max="9710" width="9.375" style="170" customWidth="1"/>
    <col min="9711" max="9711" width="10.125" style="170" customWidth="1"/>
    <col min="9712" max="9712" width="9.375" style="170" customWidth="1"/>
    <col min="9713" max="9713" width="8.25" style="170" customWidth="1"/>
    <col min="9714" max="9714" width="9.875" style="170" customWidth="1"/>
    <col min="9715" max="9715" width="10.625" style="170" bestFit="1" customWidth="1"/>
    <col min="9716" max="9716" width="28.125" style="170" bestFit="1" customWidth="1"/>
    <col min="9717" max="9717" width="39.25" style="170" bestFit="1" customWidth="1"/>
    <col min="9718" max="9718" width="9.375" style="170" customWidth="1"/>
    <col min="9719" max="9719" width="12.875" style="170" customWidth="1"/>
    <col min="9720" max="9720" width="9.375" style="170" customWidth="1"/>
    <col min="9721" max="9721" width="10.125" style="170" customWidth="1"/>
    <col min="9722" max="9722" width="9.375" style="170" customWidth="1"/>
    <col min="9723" max="9723" width="8.25" style="170" customWidth="1"/>
    <col min="9724" max="9724" width="9.875" style="170" customWidth="1"/>
    <col min="9725" max="9725" width="10.625" style="170" customWidth="1"/>
    <col min="9726" max="9726" width="20.75" style="170" customWidth="1"/>
    <col min="9727" max="9727" width="28.125" style="170" customWidth="1"/>
    <col min="9728" max="9728" width="39.25" style="170" bestFit="1" customWidth="1"/>
    <col min="9729" max="9729" width="10.375" style="170" customWidth="1"/>
    <col min="9730" max="9730" width="8.25" style="170" customWidth="1"/>
    <col min="9731" max="9731" width="7.75" style="170" customWidth="1"/>
    <col min="9732" max="9732" width="17.375" style="170" customWidth="1"/>
    <col min="9733" max="9733" width="14.75" style="170" customWidth="1"/>
    <col min="9734" max="9734" width="19.375" style="170" customWidth="1"/>
    <col min="9735" max="9735" width="18.25" style="170" bestFit="1" customWidth="1"/>
    <col min="9736" max="9736" width="14" style="170" customWidth="1"/>
    <col min="9737" max="9737" width="7.75" style="170" customWidth="1"/>
    <col min="9738" max="9738" width="22.875" style="170" customWidth="1"/>
    <col min="9739" max="9739" width="14" style="170" customWidth="1"/>
    <col min="9740" max="9740" width="18.625" style="170" customWidth="1"/>
    <col min="9741" max="9741" width="17.25" style="170" customWidth="1"/>
    <col min="9742" max="9742" width="7.75" style="170" customWidth="1"/>
    <col min="9743" max="9743" width="22.125" style="170" bestFit="1" customWidth="1"/>
    <col min="9744" max="9744" width="10.375" style="170" customWidth="1"/>
    <col min="9745" max="9746" width="9" style="170" customWidth="1"/>
    <col min="9747" max="9747" width="15" style="170" customWidth="1"/>
    <col min="9748" max="9748" width="30.125" style="170" bestFit="1" customWidth="1"/>
    <col min="9749" max="9749" width="34.875" style="170" customWidth="1"/>
    <col min="9750" max="9750" width="19.375" style="170" bestFit="1" customWidth="1"/>
    <col min="9751" max="9751" width="11.75" style="170" customWidth="1"/>
    <col min="9752" max="9752" width="7.75" style="170" customWidth="1"/>
    <col min="9753" max="9753" width="24.125" style="170" customWidth="1"/>
    <col min="9754" max="9754" width="27.375" style="170" customWidth="1"/>
    <col min="9755" max="9755" width="7.625" style="170" customWidth="1"/>
    <col min="9756" max="9756" width="32.25" style="170" customWidth="1"/>
    <col min="9757" max="9757" width="24.375" style="170" customWidth="1"/>
    <col min="9758" max="9758" width="9" style="170" customWidth="1"/>
    <col min="9759" max="9759" width="11" style="170" customWidth="1"/>
    <col min="9760" max="9760" width="9" style="170" customWidth="1"/>
    <col min="9761" max="9761" width="29.125" style="170" bestFit="1" customWidth="1"/>
    <col min="9762" max="9762" width="24.875" style="170" bestFit="1" customWidth="1"/>
    <col min="9763" max="9765" width="9" style="170" customWidth="1"/>
    <col min="9766" max="9766" width="29.375" style="170" bestFit="1" customWidth="1"/>
    <col min="9767" max="9767" width="21.625" style="170" bestFit="1" customWidth="1"/>
    <col min="9768" max="9770" width="9" style="170" customWidth="1"/>
    <col min="9771" max="9771" width="26.375" style="170" bestFit="1" customWidth="1"/>
    <col min="9772" max="9772" width="18.25" style="170" bestFit="1" customWidth="1"/>
    <col min="9773" max="9773" width="22.875" style="170" bestFit="1" customWidth="1"/>
    <col min="9774" max="9950" width="8.75" style="170"/>
    <col min="9951" max="9951" width="4.875" style="170" bestFit="1" customWidth="1"/>
    <col min="9952" max="9952" width="60.625" style="170" customWidth="1"/>
    <col min="9953" max="9953" width="11.25" style="170" customWidth="1"/>
    <col min="9954" max="9960" width="12" style="170" customWidth="1"/>
    <col min="9961" max="9961" width="9" style="170" customWidth="1"/>
    <col min="9962" max="9962" width="12" style="170" customWidth="1"/>
    <col min="9963" max="9963" width="39.25" style="170" bestFit="1" customWidth="1"/>
    <col min="9964" max="9964" width="9.375" style="170" customWidth="1"/>
    <col min="9965" max="9965" width="12.875" style="170" customWidth="1"/>
    <col min="9966" max="9966" width="9.375" style="170" customWidth="1"/>
    <col min="9967" max="9967" width="10.125" style="170" customWidth="1"/>
    <col min="9968" max="9968" width="9.375" style="170" customWidth="1"/>
    <col min="9969" max="9969" width="8.25" style="170" customWidth="1"/>
    <col min="9970" max="9970" width="9.875" style="170" customWidth="1"/>
    <col min="9971" max="9971" width="10.625" style="170" bestFit="1" customWidth="1"/>
    <col min="9972" max="9972" width="28.125" style="170" bestFit="1" customWidth="1"/>
    <col min="9973" max="9973" width="39.25" style="170" bestFit="1" customWidth="1"/>
    <col min="9974" max="9974" width="9.375" style="170" customWidth="1"/>
    <col min="9975" max="9975" width="12.875" style="170" customWidth="1"/>
    <col min="9976" max="9976" width="9.375" style="170" customWidth="1"/>
    <col min="9977" max="9977" width="10.125" style="170" customWidth="1"/>
    <col min="9978" max="9978" width="9.375" style="170" customWidth="1"/>
    <col min="9979" max="9979" width="8.25" style="170" customWidth="1"/>
    <col min="9980" max="9980" width="9.875" style="170" customWidth="1"/>
    <col min="9981" max="9981" width="10.625" style="170" customWidth="1"/>
    <col min="9982" max="9982" width="20.75" style="170" customWidth="1"/>
    <col min="9983" max="9983" width="28.125" style="170" customWidth="1"/>
    <col min="9984" max="9984" width="39.25" style="170" bestFit="1" customWidth="1"/>
    <col min="9985" max="9985" width="10.375" style="170" customWidth="1"/>
    <col min="9986" max="9986" width="8.25" style="170" customWidth="1"/>
    <col min="9987" max="9987" width="7.75" style="170" customWidth="1"/>
    <col min="9988" max="9988" width="17.375" style="170" customWidth="1"/>
    <col min="9989" max="9989" width="14.75" style="170" customWidth="1"/>
    <col min="9990" max="9990" width="19.375" style="170" customWidth="1"/>
    <col min="9991" max="9991" width="18.25" style="170" bestFit="1" customWidth="1"/>
    <col min="9992" max="9992" width="14" style="170" customWidth="1"/>
    <col min="9993" max="9993" width="7.75" style="170" customWidth="1"/>
    <col min="9994" max="9994" width="22.875" style="170" customWidth="1"/>
    <col min="9995" max="9995" width="14" style="170" customWidth="1"/>
    <col min="9996" max="9996" width="18.625" style="170" customWidth="1"/>
    <col min="9997" max="9997" width="17.25" style="170" customWidth="1"/>
    <col min="9998" max="9998" width="7.75" style="170" customWidth="1"/>
    <col min="9999" max="9999" width="22.125" style="170" bestFit="1" customWidth="1"/>
    <col min="10000" max="10000" width="10.375" style="170" customWidth="1"/>
    <col min="10001" max="10002" width="9" style="170" customWidth="1"/>
    <col min="10003" max="10003" width="15" style="170" customWidth="1"/>
    <col min="10004" max="10004" width="30.125" style="170" bestFit="1" customWidth="1"/>
    <col min="10005" max="10005" width="34.875" style="170" customWidth="1"/>
    <col min="10006" max="10006" width="19.375" style="170" bestFit="1" customWidth="1"/>
    <col min="10007" max="10007" width="11.75" style="170" customWidth="1"/>
    <col min="10008" max="10008" width="7.75" style="170" customWidth="1"/>
    <col min="10009" max="10009" width="24.125" style="170" customWidth="1"/>
    <col min="10010" max="10010" width="27.375" style="170" customWidth="1"/>
    <col min="10011" max="10011" width="7.625" style="170" customWidth="1"/>
    <col min="10012" max="10012" width="32.25" style="170" customWidth="1"/>
    <col min="10013" max="10013" width="24.375" style="170" customWidth="1"/>
    <col min="10014" max="10014" width="9" style="170" customWidth="1"/>
    <col min="10015" max="10015" width="11" style="170" customWidth="1"/>
    <col min="10016" max="10016" width="9" style="170" customWidth="1"/>
    <col min="10017" max="10017" width="29.125" style="170" bestFit="1" customWidth="1"/>
    <col min="10018" max="10018" width="24.875" style="170" bestFit="1" customWidth="1"/>
    <col min="10019" max="10021" width="9" style="170" customWidth="1"/>
    <col min="10022" max="10022" width="29.375" style="170" bestFit="1" customWidth="1"/>
    <col min="10023" max="10023" width="21.625" style="170" bestFit="1" customWidth="1"/>
    <col min="10024" max="10026" width="9" style="170" customWidth="1"/>
    <col min="10027" max="10027" width="26.375" style="170" bestFit="1" customWidth="1"/>
    <col min="10028" max="10028" width="18.25" style="170" bestFit="1" customWidth="1"/>
    <col min="10029" max="10029" width="22.875" style="170" bestFit="1" customWidth="1"/>
    <col min="10030" max="10206" width="8.75" style="170"/>
    <col min="10207" max="10207" width="4.875" style="170" bestFit="1" customWidth="1"/>
    <col min="10208" max="10208" width="60.625" style="170" customWidth="1"/>
    <col min="10209" max="10209" width="11.25" style="170" customWidth="1"/>
    <col min="10210" max="10216" width="12" style="170" customWidth="1"/>
    <col min="10217" max="10217" width="9" style="170" customWidth="1"/>
    <col min="10218" max="10218" width="12" style="170" customWidth="1"/>
    <col min="10219" max="10219" width="39.25" style="170" bestFit="1" customWidth="1"/>
    <col min="10220" max="10220" width="9.375" style="170" customWidth="1"/>
    <col min="10221" max="10221" width="12.875" style="170" customWidth="1"/>
    <col min="10222" max="10222" width="9.375" style="170" customWidth="1"/>
    <col min="10223" max="10223" width="10.125" style="170" customWidth="1"/>
    <col min="10224" max="10224" width="9.375" style="170" customWidth="1"/>
    <col min="10225" max="10225" width="8.25" style="170" customWidth="1"/>
    <col min="10226" max="10226" width="9.875" style="170" customWidth="1"/>
    <col min="10227" max="10227" width="10.625" style="170" bestFit="1" customWidth="1"/>
    <col min="10228" max="10228" width="28.125" style="170" bestFit="1" customWidth="1"/>
    <col min="10229" max="10229" width="39.25" style="170" bestFit="1" customWidth="1"/>
    <col min="10230" max="10230" width="9.375" style="170" customWidth="1"/>
    <col min="10231" max="10231" width="12.875" style="170" customWidth="1"/>
    <col min="10232" max="10232" width="9.375" style="170" customWidth="1"/>
    <col min="10233" max="10233" width="10.125" style="170" customWidth="1"/>
    <col min="10234" max="10234" width="9.375" style="170" customWidth="1"/>
    <col min="10235" max="10235" width="8.25" style="170" customWidth="1"/>
    <col min="10236" max="10236" width="9.875" style="170" customWidth="1"/>
    <col min="10237" max="10237" width="10.625" style="170" customWidth="1"/>
    <col min="10238" max="10238" width="20.75" style="170" customWidth="1"/>
    <col min="10239" max="10239" width="28.125" style="170" customWidth="1"/>
    <col min="10240" max="10240" width="39.25" style="170" bestFit="1" customWidth="1"/>
    <col min="10241" max="10241" width="10.375" style="170" customWidth="1"/>
    <col min="10242" max="10242" width="8.25" style="170" customWidth="1"/>
    <col min="10243" max="10243" width="7.75" style="170" customWidth="1"/>
    <col min="10244" max="10244" width="17.375" style="170" customWidth="1"/>
    <col min="10245" max="10245" width="14.75" style="170" customWidth="1"/>
    <col min="10246" max="10246" width="19.375" style="170" customWidth="1"/>
    <col min="10247" max="10247" width="18.25" style="170" bestFit="1" customWidth="1"/>
    <col min="10248" max="10248" width="14" style="170" customWidth="1"/>
    <col min="10249" max="10249" width="7.75" style="170" customWidth="1"/>
    <col min="10250" max="10250" width="22.875" style="170" customWidth="1"/>
    <col min="10251" max="10251" width="14" style="170" customWidth="1"/>
    <col min="10252" max="10252" width="18.625" style="170" customWidth="1"/>
    <col min="10253" max="10253" width="17.25" style="170" customWidth="1"/>
    <col min="10254" max="10254" width="7.75" style="170" customWidth="1"/>
    <col min="10255" max="10255" width="22.125" style="170" bestFit="1" customWidth="1"/>
    <col min="10256" max="10256" width="10.375" style="170" customWidth="1"/>
    <col min="10257" max="10258" width="9" style="170" customWidth="1"/>
    <col min="10259" max="10259" width="15" style="170" customWidth="1"/>
    <col min="10260" max="10260" width="30.125" style="170" bestFit="1" customWidth="1"/>
    <col min="10261" max="10261" width="34.875" style="170" customWidth="1"/>
    <col min="10262" max="10262" width="19.375" style="170" bestFit="1" customWidth="1"/>
    <col min="10263" max="10263" width="11.75" style="170" customWidth="1"/>
    <col min="10264" max="10264" width="7.75" style="170" customWidth="1"/>
    <col min="10265" max="10265" width="24.125" style="170" customWidth="1"/>
    <col min="10266" max="10266" width="27.375" style="170" customWidth="1"/>
    <col min="10267" max="10267" width="7.625" style="170" customWidth="1"/>
    <col min="10268" max="10268" width="32.25" style="170" customWidth="1"/>
    <col min="10269" max="10269" width="24.375" style="170" customWidth="1"/>
    <col min="10270" max="10270" width="9" style="170" customWidth="1"/>
    <col min="10271" max="10271" width="11" style="170" customWidth="1"/>
    <col min="10272" max="10272" width="9" style="170" customWidth="1"/>
    <col min="10273" max="10273" width="29.125" style="170" bestFit="1" customWidth="1"/>
    <col min="10274" max="10274" width="24.875" style="170" bestFit="1" customWidth="1"/>
    <col min="10275" max="10277" width="9" style="170" customWidth="1"/>
    <col min="10278" max="10278" width="29.375" style="170" bestFit="1" customWidth="1"/>
    <col min="10279" max="10279" width="21.625" style="170" bestFit="1" customWidth="1"/>
    <col min="10280" max="10282" width="9" style="170" customWidth="1"/>
    <col min="10283" max="10283" width="26.375" style="170" bestFit="1" customWidth="1"/>
    <col min="10284" max="10284" width="18.25" style="170" bestFit="1" customWidth="1"/>
    <col min="10285" max="10285" width="22.875" style="170" bestFit="1" customWidth="1"/>
    <col min="10286" max="10462" width="8.75" style="170"/>
    <col min="10463" max="10463" width="4.875" style="170" bestFit="1" customWidth="1"/>
    <col min="10464" max="10464" width="60.625" style="170" customWidth="1"/>
    <col min="10465" max="10465" width="11.25" style="170" customWidth="1"/>
    <col min="10466" max="10472" width="12" style="170" customWidth="1"/>
    <col min="10473" max="10473" width="9" style="170" customWidth="1"/>
    <col min="10474" max="10474" width="12" style="170" customWidth="1"/>
    <col min="10475" max="10475" width="39.25" style="170" bestFit="1" customWidth="1"/>
    <col min="10476" max="10476" width="9.375" style="170" customWidth="1"/>
    <col min="10477" max="10477" width="12.875" style="170" customWidth="1"/>
    <col min="10478" max="10478" width="9.375" style="170" customWidth="1"/>
    <col min="10479" max="10479" width="10.125" style="170" customWidth="1"/>
    <col min="10480" max="10480" width="9.375" style="170" customWidth="1"/>
    <col min="10481" max="10481" width="8.25" style="170" customWidth="1"/>
    <col min="10482" max="10482" width="9.875" style="170" customWidth="1"/>
    <col min="10483" max="10483" width="10.625" style="170" bestFit="1" customWidth="1"/>
    <col min="10484" max="10484" width="28.125" style="170" bestFit="1" customWidth="1"/>
    <col min="10485" max="10485" width="39.25" style="170" bestFit="1" customWidth="1"/>
    <col min="10486" max="10486" width="9.375" style="170" customWidth="1"/>
    <col min="10487" max="10487" width="12.875" style="170" customWidth="1"/>
    <col min="10488" max="10488" width="9.375" style="170" customWidth="1"/>
    <col min="10489" max="10489" width="10.125" style="170" customWidth="1"/>
    <col min="10490" max="10490" width="9.375" style="170" customWidth="1"/>
    <col min="10491" max="10491" width="8.25" style="170" customWidth="1"/>
    <col min="10492" max="10492" width="9.875" style="170" customWidth="1"/>
    <col min="10493" max="10493" width="10.625" style="170" customWidth="1"/>
    <col min="10494" max="10494" width="20.75" style="170" customWidth="1"/>
    <col min="10495" max="10495" width="28.125" style="170" customWidth="1"/>
    <col min="10496" max="10496" width="39.25" style="170" bestFit="1" customWidth="1"/>
    <col min="10497" max="10497" width="10.375" style="170" customWidth="1"/>
    <col min="10498" max="10498" width="8.25" style="170" customWidth="1"/>
    <col min="10499" max="10499" width="7.75" style="170" customWidth="1"/>
    <col min="10500" max="10500" width="17.375" style="170" customWidth="1"/>
    <col min="10501" max="10501" width="14.75" style="170" customWidth="1"/>
    <col min="10502" max="10502" width="19.375" style="170" customWidth="1"/>
    <col min="10503" max="10503" width="18.25" style="170" bestFit="1" customWidth="1"/>
    <col min="10504" max="10504" width="14" style="170" customWidth="1"/>
    <col min="10505" max="10505" width="7.75" style="170" customWidth="1"/>
    <col min="10506" max="10506" width="22.875" style="170" customWidth="1"/>
    <col min="10507" max="10507" width="14" style="170" customWidth="1"/>
    <col min="10508" max="10508" width="18.625" style="170" customWidth="1"/>
    <col min="10509" max="10509" width="17.25" style="170" customWidth="1"/>
    <col min="10510" max="10510" width="7.75" style="170" customWidth="1"/>
    <col min="10511" max="10511" width="22.125" style="170" bestFit="1" customWidth="1"/>
    <col min="10512" max="10512" width="10.375" style="170" customWidth="1"/>
    <col min="10513" max="10514" width="9" style="170" customWidth="1"/>
    <col min="10515" max="10515" width="15" style="170" customWidth="1"/>
    <col min="10516" max="10516" width="30.125" style="170" bestFit="1" customWidth="1"/>
    <col min="10517" max="10517" width="34.875" style="170" customWidth="1"/>
    <col min="10518" max="10518" width="19.375" style="170" bestFit="1" customWidth="1"/>
    <col min="10519" max="10519" width="11.75" style="170" customWidth="1"/>
    <col min="10520" max="10520" width="7.75" style="170" customWidth="1"/>
    <col min="10521" max="10521" width="24.125" style="170" customWidth="1"/>
    <col min="10522" max="10522" width="27.375" style="170" customWidth="1"/>
    <col min="10523" max="10523" width="7.625" style="170" customWidth="1"/>
    <col min="10524" max="10524" width="32.25" style="170" customWidth="1"/>
    <col min="10525" max="10525" width="24.375" style="170" customWidth="1"/>
    <col min="10526" max="10526" width="9" style="170" customWidth="1"/>
    <col min="10527" max="10527" width="11" style="170" customWidth="1"/>
    <col min="10528" max="10528" width="9" style="170" customWidth="1"/>
    <col min="10529" max="10529" width="29.125" style="170" bestFit="1" customWidth="1"/>
    <col min="10530" max="10530" width="24.875" style="170" bestFit="1" customWidth="1"/>
    <col min="10531" max="10533" width="9" style="170" customWidth="1"/>
    <col min="10534" max="10534" width="29.375" style="170" bestFit="1" customWidth="1"/>
    <col min="10535" max="10535" width="21.625" style="170" bestFit="1" customWidth="1"/>
    <col min="10536" max="10538" width="9" style="170" customWidth="1"/>
    <col min="10539" max="10539" width="26.375" style="170" bestFit="1" customWidth="1"/>
    <col min="10540" max="10540" width="18.25" style="170" bestFit="1" customWidth="1"/>
    <col min="10541" max="10541" width="22.875" style="170" bestFit="1" customWidth="1"/>
    <col min="10542" max="10718" width="8.75" style="170"/>
    <col min="10719" max="10719" width="4.875" style="170" bestFit="1" customWidth="1"/>
    <col min="10720" max="10720" width="60.625" style="170" customWidth="1"/>
    <col min="10721" max="10721" width="11.25" style="170" customWidth="1"/>
    <col min="10722" max="10728" width="12" style="170" customWidth="1"/>
    <col min="10729" max="10729" width="9" style="170" customWidth="1"/>
    <col min="10730" max="10730" width="12" style="170" customWidth="1"/>
    <col min="10731" max="10731" width="39.25" style="170" bestFit="1" customWidth="1"/>
    <col min="10732" max="10732" width="9.375" style="170" customWidth="1"/>
    <col min="10733" max="10733" width="12.875" style="170" customWidth="1"/>
    <col min="10734" max="10734" width="9.375" style="170" customWidth="1"/>
    <col min="10735" max="10735" width="10.125" style="170" customWidth="1"/>
    <col min="10736" max="10736" width="9.375" style="170" customWidth="1"/>
    <col min="10737" max="10737" width="8.25" style="170" customWidth="1"/>
    <col min="10738" max="10738" width="9.875" style="170" customWidth="1"/>
    <col min="10739" max="10739" width="10.625" style="170" bestFit="1" customWidth="1"/>
    <col min="10740" max="10740" width="28.125" style="170" bestFit="1" customWidth="1"/>
    <col min="10741" max="10741" width="39.25" style="170" bestFit="1" customWidth="1"/>
    <col min="10742" max="10742" width="9.375" style="170" customWidth="1"/>
    <col min="10743" max="10743" width="12.875" style="170" customWidth="1"/>
    <col min="10744" max="10744" width="9.375" style="170" customWidth="1"/>
    <col min="10745" max="10745" width="10.125" style="170" customWidth="1"/>
    <col min="10746" max="10746" width="9.375" style="170" customWidth="1"/>
    <col min="10747" max="10747" width="8.25" style="170" customWidth="1"/>
    <col min="10748" max="10748" width="9.875" style="170" customWidth="1"/>
    <col min="10749" max="10749" width="10.625" style="170" customWidth="1"/>
    <col min="10750" max="10750" width="20.75" style="170" customWidth="1"/>
    <col min="10751" max="10751" width="28.125" style="170" customWidth="1"/>
    <col min="10752" max="10752" width="39.25" style="170" bestFit="1" customWidth="1"/>
    <col min="10753" max="10753" width="10.375" style="170" customWidth="1"/>
    <col min="10754" max="10754" width="8.25" style="170" customWidth="1"/>
    <col min="10755" max="10755" width="7.75" style="170" customWidth="1"/>
    <col min="10756" max="10756" width="17.375" style="170" customWidth="1"/>
    <col min="10757" max="10757" width="14.75" style="170" customWidth="1"/>
    <col min="10758" max="10758" width="19.375" style="170" customWidth="1"/>
    <col min="10759" max="10759" width="18.25" style="170" bestFit="1" customWidth="1"/>
    <col min="10760" max="10760" width="14" style="170" customWidth="1"/>
    <col min="10761" max="10761" width="7.75" style="170" customWidth="1"/>
    <col min="10762" max="10762" width="22.875" style="170" customWidth="1"/>
    <col min="10763" max="10763" width="14" style="170" customWidth="1"/>
    <col min="10764" max="10764" width="18.625" style="170" customWidth="1"/>
    <col min="10765" max="10765" width="17.25" style="170" customWidth="1"/>
    <col min="10766" max="10766" width="7.75" style="170" customWidth="1"/>
    <col min="10767" max="10767" width="22.125" style="170" bestFit="1" customWidth="1"/>
    <col min="10768" max="10768" width="10.375" style="170" customWidth="1"/>
    <col min="10769" max="10770" width="9" style="170" customWidth="1"/>
    <col min="10771" max="10771" width="15" style="170" customWidth="1"/>
    <col min="10772" max="10772" width="30.125" style="170" bestFit="1" customWidth="1"/>
    <col min="10773" max="10773" width="34.875" style="170" customWidth="1"/>
    <col min="10774" max="10774" width="19.375" style="170" bestFit="1" customWidth="1"/>
    <col min="10775" max="10775" width="11.75" style="170" customWidth="1"/>
    <col min="10776" max="10776" width="7.75" style="170" customWidth="1"/>
    <col min="10777" max="10777" width="24.125" style="170" customWidth="1"/>
    <col min="10778" max="10778" width="27.375" style="170" customWidth="1"/>
    <col min="10779" max="10779" width="7.625" style="170" customWidth="1"/>
    <col min="10780" max="10780" width="32.25" style="170" customWidth="1"/>
    <col min="10781" max="10781" width="24.375" style="170" customWidth="1"/>
    <col min="10782" max="10782" width="9" style="170" customWidth="1"/>
    <col min="10783" max="10783" width="11" style="170" customWidth="1"/>
    <col min="10784" max="10784" width="9" style="170" customWidth="1"/>
    <col min="10785" max="10785" width="29.125" style="170" bestFit="1" customWidth="1"/>
    <col min="10786" max="10786" width="24.875" style="170" bestFit="1" customWidth="1"/>
    <col min="10787" max="10789" width="9" style="170" customWidth="1"/>
    <col min="10790" max="10790" width="29.375" style="170" bestFit="1" customWidth="1"/>
    <col min="10791" max="10791" width="21.625" style="170" bestFit="1" customWidth="1"/>
    <col min="10792" max="10794" width="9" style="170" customWidth="1"/>
    <col min="10795" max="10795" width="26.375" style="170" bestFit="1" customWidth="1"/>
    <col min="10796" max="10796" width="18.25" style="170" bestFit="1" customWidth="1"/>
    <col min="10797" max="10797" width="22.875" style="170" bestFit="1" customWidth="1"/>
    <col min="10798" max="10974" width="8.75" style="170"/>
    <col min="10975" max="10975" width="4.875" style="170" bestFit="1" customWidth="1"/>
    <col min="10976" max="10976" width="60.625" style="170" customWidth="1"/>
    <col min="10977" max="10977" width="11.25" style="170" customWidth="1"/>
    <col min="10978" max="10984" width="12" style="170" customWidth="1"/>
    <col min="10985" max="10985" width="9" style="170" customWidth="1"/>
    <col min="10986" max="10986" width="12" style="170" customWidth="1"/>
    <col min="10987" max="10987" width="39.25" style="170" bestFit="1" customWidth="1"/>
    <col min="10988" max="10988" width="9.375" style="170" customWidth="1"/>
    <col min="10989" max="10989" width="12.875" style="170" customWidth="1"/>
    <col min="10990" max="10990" width="9.375" style="170" customWidth="1"/>
    <col min="10991" max="10991" width="10.125" style="170" customWidth="1"/>
    <col min="10992" max="10992" width="9.375" style="170" customWidth="1"/>
    <col min="10993" max="10993" width="8.25" style="170" customWidth="1"/>
    <col min="10994" max="10994" width="9.875" style="170" customWidth="1"/>
    <col min="10995" max="10995" width="10.625" style="170" bestFit="1" customWidth="1"/>
    <col min="10996" max="10996" width="28.125" style="170" bestFit="1" customWidth="1"/>
    <col min="10997" max="10997" width="39.25" style="170" bestFit="1" customWidth="1"/>
    <col min="10998" max="10998" width="9.375" style="170" customWidth="1"/>
    <col min="10999" max="10999" width="12.875" style="170" customWidth="1"/>
    <col min="11000" max="11000" width="9.375" style="170" customWidth="1"/>
    <col min="11001" max="11001" width="10.125" style="170" customWidth="1"/>
    <col min="11002" max="11002" width="9.375" style="170" customWidth="1"/>
    <col min="11003" max="11003" width="8.25" style="170" customWidth="1"/>
    <col min="11004" max="11004" width="9.875" style="170" customWidth="1"/>
    <col min="11005" max="11005" width="10.625" style="170" customWidth="1"/>
    <col min="11006" max="11006" width="20.75" style="170" customWidth="1"/>
    <col min="11007" max="11007" width="28.125" style="170" customWidth="1"/>
    <col min="11008" max="11008" width="39.25" style="170" bestFit="1" customWidth="1"/>
    <col min="11009" max="11009" width="10.375" style="170" customWidth="1"/>
    <col min="11010" max="11010" width="8.25" style="170" customWidth="1"/>
    <col min="11011" max="11011" width="7.75" style="170" customWidth="1"/>
    <col min="11012" max="11012" width="17.375" style="170" customWidth="1"/>
    <col min="11013" max="11013" width="14.75" style="170" customWidth="1"/>
    <col min="11014" max="11014" width="19.375" style="170" customWidth="1"/>
    <col min="11015" max="11015" width="18.25" style="170" bestFit="1" customWidth="1"/>
    <col min="11016" max="11016" width="14" style="170" customWidth="1"/>
    <col min="11017" max="11017" width="7.75" style="170" customWidth="1"/>
    <col min="11018" max="11018" width="22.875" style="170" customWidth="1"/>
    <col min="11019" max="11019" width="14" style="170" customWidth="1"/>
    <col min="11020" max="11020" width="18.625" style="170" customWidth="1"/>
    <col min="11021" max="11021" width="17.25" style="170" customWidth="1"/>
    <col min="11022" max="11022" width="7.75" style="170" customWidth="1"/>
    <col min="11023" max="11023" width="22.125" style="170" bestFit="1" customWidth="1"/>
    <col min="11024" max="11024" width="10.375" style="170" customWidth="1"/>
    <col min="11025" max="11026" width="9" style="170" customWidth="1"/>
    <col min="11027" max="11027" width="15" style="170" customWidth="1"/>
    <col min="11028" max="11028" width="30.125" style="170" bestFit="1" customWidth="1"/>
    <col min="11029" max="11029" width="34.875" style="170" customWidth="1"/>
    <col min="11030" max="11030" width="19.375" style="170" bestFit="1" customWidth="1"/>
    <col min="11031" max="11031" width="11.75" style="170" customWidth="1"/>
    <col min="11032" max="11032" width="7.75" style="170" customWidth="1"/>
    <col min="11033" max="11033" width="24.125" style="170" customWidth="1"/>
    <col min="11034" max="11034" width="27.375" style="170" customWidth="1"/>
    <col min="11035" max="11035" width="7.625" style="170" customWidth="1"/>
    <col min="11036" max="11036" width="32.25" style="170" customWidth="1"/>
    <col min="11037" max="11037" width="24.375" style="170" customWidth="1"/>
    <col min="11038" max="11038" width="9" style="170" customWidth="1"/>
    <col min="11039" max="11039" width="11" style="170" customWidth="1"/>
    <col min="11040" max="11040" width="9" style="170" customWidth="1"/>
    <col min="11041" max="11041" width="29.125" style="170" bestFit="1" customWidth="1"/>
    <col min="11042" max="11042" width="24.875" style="170" bestFit="1" customWidth="1"/>
    <col min="11043" max="11045" width="9" style="170" customWidth="1"/>
    <col min="11046" max="11046" width="29.375" style="170" bestFit="1" customWidth="1"/>
    <col min="11047" max="11047" width="21.625" style="170" bestFit="1" customWidth="1"/>
    <col min="11048" max="11050" width="9" style="170" customWidth="1"/>
    <col min="11051" max="11051" width="26.375" style="170" bestFit="1" customWidth="1"/>
    <col min="11052" max="11052" width="18.25" style="170" bestFit="1" customWidth="1"/>
    <col min="11053" max="11053" width="22.875" style="170" bestFit="1" customWidth="1"/>
    <col min="11054" max="11230" width="8.75" style="170"/>
    <col min="11231" max="11231" width="4.875" style="170" bestFit="1" customWidth="1"/>
    <col min="11232" max="11232" width="60.625" style="170" customWidth="1"/>
    <col min="11233" max="11233" width="11.25" style="170" customWidth="1"/>
    <col min="11234" max="11240" width="12" style="170" customWidth="1"/>
    <col min="11241" max="11241" width="9" style="170" customWidth="1"/>
    <col min="11242" max="11242" width="12" style="170" customWidth="1"/>
    <col min="11243" max="11243" width="39.25" style="170" bestFit="1" customWidth="1"/>
    <col min="11244" max="11244" width="9.375" style="170" customWidth="1"/>
    <col min="11245" max="11245" width="12.875" style="170" customWidth="1"/>
    <col min="11246" max="11246" width="9.375" style="170" customWidth="1"/>
    <col min="11247" max="11247" width="10.125" style="170" customWidth="1"/>
    <col min="11248" max="11248" width="9.375" style="170" customWidth="1"/>
    <col min="11249" max="11249" width="8.25" style="170" customWidth="1"/>
    <col min="11250" max="11250" width="9.875" style="170" customWidth="1"/>
    <col min="11251" max="11251" width="10.625" style="170" bestFit="1" customWidth="1"/>
    <col min="11252" max="11252" width="28.125" style="170" bestFit="1" customWidth="1"/>
    <col min="11253" max="11253" width="39.25" style="170" bestFit="1" customWidth="1"/>
    <col min="11254" max="11254" width="9.375" style="170" customWidth="1"/>
    <col min="11255" max="11255" width="12.875" style="170" customWidth="1"/>
    <col min="11256" max="11256" width="9.375" style="170" customWidth="1"/>
    <col min="11257" max="11257" width="10.125" style="170" customWidth="1"/>
    <col min="11258" max="11258" width="9.375" style="170" customWidth="1"/>
    <col min="11259" max="11259" width="8.25" style="170" customWidth="1"/>
    <col min="11260" max="11260" width="9.875" style="170" customWidth="1"/>
    <col min="11261" max="11261" width="10.625" style="170" customWidth="1"/>
    <col min="11262" max="11262" width="20.75" style="170" customWidth="1"/>
    <col min="11263" max="11263" width="28.125" style="170" customWidth="1"/>
    <col min="11264" max="11264" width="39.25" style="170" bestFit="1" customWidth="1"/>
    <col min="11265" max="11265" width="10.375" style="170" customWidth="1"/>
    <col min="11266" max="11266" width="8.25" style="170" customWidth="1"/>
    <col min="11267" max="11267" width="7.75" style="170" customWidth="1"/>
    <col min="11268" max="11268" width="17.375" style="170" customWidth="1"/>
    <col min="11269" max="11269" width="14.75" style="170" customWidth="1"/>
    <col min="11270" max="11270" width="19.375" style="170" customWidth="1"/>
    <col min="11271" max="11271" width="18.25" style="170" bestFit="1" customWidth="1"/>
    <col min="11272" max="11272" width="14" style="170" customWidth="1"/>
    <col min="11273" max="11273" width="7.75" style="170" customWidth="1"/>
    <col min="11274" max="11274" width="22.875" style="170" customWidth="1"/>
    <col min="11275" max="11275" width="14" style="170" customWidth="1"/>
    <col min="11276" max="11276" width="18.625" style="170" customWidth="1"/>
    <col min="11277" max="11277" width="17.25" style="170" customWidth="1"/>
    <col min="11278" max="11278" width="7.75" style="170" customWidth="1"/>
    <col min="11279" max="11279" width="22.125" style="170" bestFit="1" customWidth="1"/>
    <col min="11280" max="11280" width="10.375" style="170" customWidth="1"/>
    <col min="11281" max="11282" width="9" style="170" customWidth="1"/>
    <col min="11283" max="11283" width="15" style="170" customWidth="1"/>
    <col min="11284" max="11284" width="30.125" style="170" bestFit="1" customWidth="1"/>
    <col min="11285" max="11285" width="34.875" style="170" customWidth="1"/>
    <col min="11286" max="11286" width="19.375" style="170" bestFit="1" customWidth="1"/>
    <col min="11287" max="11287" width="11.75" style="170" customWidth="1"/>
    <col min="11288" max="11288" width="7.75" style="170" customWidth="1"/>
    <col min="11289" max="11289" width="24.125" style="170" customWidth="1"/>
    <col min="11290" max="11290" width="27.375" style="170" customWidth="1"/>
    <col min="11291" max="11291" width="7.625" style="170" customWidth="1"/>
    <col min="11292" max="11292" width="32.25" style="170" customWidth="1"/>
    <col min="11293" max="11293" width="24.375" style="170" customWidth="1"/>
    <col min="11294" max="11294" width="9" style="170" customWidth="1"/>
    <col min="11295" max="11295" width="11" style="170" customWidth="1"/>
    <col min="11296" max="11296" width="9" style="170" customWidth="1"/>
    <col min="11297" max="11297" width="29.125" style="170" bestFit="1" customWidth="1"/>
    <col min="11298" max="11298" width="24.875" style="170" bestFit="1" customWidth="1"/>
    <col min="11299" max="11301" width="9" style="170" customWidth="1"/>
    <col min="11302" max="11302" width="29.375" style="170" bestFit="1" customWidth="1"/>
    <col min="11303" max="11303" width="21.625" style="170" bestFit="1" customWidth="1"/>
    <col min="11304" max="11306" width="9" style="170" customWidth="1"/>
    <col min="11307" max="11307" width="26.375" style="170" bestFit="1" customWidth="1"/>
    <col min="11308" max="11308" width="18.25" style="170" bestFit="1" customWidth="1"/>
    <col min="11309" max="11309" width="22.875" style="170" bestFit="1" customWidth="1"/>
    <col min="11310" max="11486" width="8.75" style="170"/>
    <col min="11487" max="11487" width="4.875" style="170" bestFit="1" customWidth="1"/>
    <col min="11488" max="11488" width="60.625" style="170" customWidth="1"/>
    <col min="11489" max="11489" width="11.25" style="170" customWidth="1"/>
    <col min="11490" max="11496" width="12" style="170" customWidth="1"/>
    <col min="11497" max="11497" width="9" style="170" customWidth="1"/>
    <col min="11498" max="11498" width="12" style="170" customWidth="1"/>
    <col min="11499" max="11499" width="39.25" style="170" bestFit="1" customWidth="1"/>
    <col min="11500" max="11500" width="9.375" style="170" customWidth="1"/>
    <col min="11501" max="11501" width="12.875" style="170" customWidth="1"/>
    <col min="11502" max="11502" width="9.375" style="170" customWidth="1"/>
    <col min="11503" max="11503" width="10.125" style="170" customWidth="1"/>
    <col min="11504" max="11504" width="9.375" style="170" customWidth="1"/>
    <col min="11505" max="11505" width="8.25" style="170" customWidth="1"/>
    <col min="11506" max="11506" width="9.875" style="170" customWidth="1"/>
    <col min="11507" max="11507" width="10.625" style="170" bestFit="1" customWidth="1"/>
    <col min="11508" max="11508" width="28.125" style="170" bestFit="1" customWidth="1"/>
    <col min="11509" max="11509" width="39.25" style="170" bestFit="1" customWidth="1"/>
    <col min="11510" max="11510" width="9.375" style="170" customWidth="1"/>
    <col min="11511" max="11511" width="12.875" style="170" customWidth="1"/>
    <col min="11512" max="11512" width="9.375" style="170" customWidth="1"/>
    <col min="11513" max="11513" width="10.125" style="170" customWidth="1"/>
    <col min="11514" max="11514" width="9.375" style="170" customWidth="1"/>
    <col min="11515" max="11515" width="8.25" style="170" customWidth="1"/>
    <col min="11516" max="11516" width="9.875" style="170" customWidth="1"/>
    <col min="11517" max="11517" width="10.625" style="170" customWidth="1"/>
    <col min="11518" max="11518" width="20.75" style="170" customWidth="1"/>
    <col min="11519" max="11519" width="28.125" style="170" customWidth="1"/>
    <col min="11520" max="11520" width="39.25" style="170" bestFit="1" customWidth="1"/>
    <col min="11521" max="11521" width="10.375" style="170" customWidth="1"/>
    <col min="11522" max="11522" width="8.25" style="170" customWidth="1"/>
    <col min="11523" max="11523" width="7.75" style="170" customWidth="1"/>
    <col min="11524" max="11524" width="17.375" style="170" customWidth="1"/>
    <col min="11525" max="11525" width="14.75" style="170" customWidth="1"/>
    <col min="11526" max="11526" width="19.375" style="170" customWidth="1"/>
    <col min="11527" max="11527" width="18.25" style="170" bestFit="1" customWidth="1"/>
    <col min="11528" max="11528" width="14" style="170" customWidth="1"/>
    <col min="11529" max="11529" width="7.75" style="170" customWidth="1"/>
    <col min="11530" max="11530" width="22.875" style="170" customWidth="1"/>
    <col min="11531" max="11531" width="14" style="170" customWidth="1"/>
    <col min="11532" max="11532" width="18.625" style="170" customWidth="1"/>
    <col min="11533" max="11533" width="17.25" style="170" customWidth="1"/>
    <col min="11534" max="11534" width="7.75" style="170" customWidth="1"/>
    <col min="11535" max="11535" width="22.125" style="170" bestFit="1" customWidth="1"/>
    <col min="11536" max="11536" width="10.375" style="170" customWidth="1"/>
    <col min="11537" max="11538" width="9" style="170" customWidth="1"/>
    <col min="11539" max="11539" width="15" style="170" customWidth="1"/>
    <col min="11540" max="11540" width="30.125" style="170" bestFit="1" customWidth="1"/>
    <col min="11541" max="11541" width="34.875" style="170" customWidth="1"/>
    <col min="11542" max="11542" width="19.375" style="170" bestFit="1" customWidth="1"/>
    <col min="11543" max="11543" width="11.75" style="170" customWidth="1"/>
    <col min="11544" max="11544" width="7.75" style="170" customWidth="1"/>
    <col min="11545" max="11545" width="24.125" style="170" customWidth="1"/>
    <col min="11546" max="11546" width="27.375" style="170" customWidth="1"/>
    <col min="11547" max="11547" width="7.625" style="170" customWidth="1"/>
    <col min="11548" max="11548" width="32.25" style="170" customWidth="1"/>
    <col min="11549" max="11549" width="24.375" style="170" customWidth="1"/>
    <col min="11550" max="11550" width="9" style="170" customWidth="1"/>
    <col min="11551" max="11551" width="11" style="170" customWidth="1"/>
    <col min="11552" max="11552" width="9" style="170" customWidth="1"/>
    <col min="11553" max="11553" width="29.125" style="170" bestFit="1" customWidth="1"/>
    <col min="11554" max="11554" width="24.875" style="170" bestFit="1" customWidth="1"/>
    <col min="11555" max="11557" width="9" style="170" customWidth="1"/>
    <col min="11558" max="11558" width="29.375" style="170" bestFit="1" customWidth="1"/>
    <col min="11559" max="11559" width="21.625" style="170" bestFit="1" customWidth="1"/>
    <col min="11560" max="11562" width="9" style="170" customWidth="1"/>
    <col min="11563" max="11563" width="26.375" style="170" bestFit="1" customWidth="1"/>
    <col min="11564" max="11564" width="18.25" style="170" bestFit="1" customWidth="1"/>
    <col min="11565" max="11565" width="22.875" style="170" bestFit="1" customWidth="1"/>
    <col min="11566" max="11742" width="8.75" style="170"/>
    <col min="11743" max="11743" width="4.875" style="170" bestFit="1" customWidth="1"/>
    <col min="11744" max="11744" width="60.625" style="170" customWidth="1"/>
    <col min="11745" max="11745" width="11.25" style="170" customWidth="1"/>
    <col min="11746" max="11752" width="12" style="170" customWidth="1"/>
    <col min="11753" max="11753" width="9" style="170" customWidth="1"/>
    <col min="11754" max="11754" width="12" style="170" customWidth="1"/>
    <col min="11755" max="11755" width="39.25" style="170" bestFit="1" customWidth="1"/>
    <col min="11756" max="11756" width="9.375" style="170" customWidth="1"/>
    <col min="11757" max="11757" width="12.875" style="170" customWidth="1"/>
    <col min="11758" max="11758" width="9.375" style="170" customWidth="1"/>
    <col min="11759" max="11759" width="10.125" style="170" customWidth="1"/>
    <col min="11760" max="11760" width="9.375" style="170" customWidth="1"/>
    <col min="11761" max="11761" width="8.25" style="170" customWidth="1"/>
    <col min="11762" max="11762" width="9.875" style="170" customWidth="1"/>
    <col min="11763" max="11763" width="10.625" style="170" bestFit="1" customWidth="1"/>
    <col min="11764" max="11764" width="28.125" style="170" bestFit="1" customWidth="1"/>
    <col min="11765" max="11765" width="39.25" style="170" bestFit="1" customWidth="1"/>
    <col min="11766" max="11766" width="9.375" style="170" customWidth="1"/>
    <col min="11767" max="11767" width="12.875" style="170" customWidth="1"/>
    <col min="11768" max="11768" width="9.375" style="170" customWidth="1"/>
    <col min="11769" max="11769" width="10.125" style="170" customWidth="1"/>
    <col min="11770" max="11770" width="9.375" style="170" customWidth="1"/>
    <col min="11771" max="11771" width="8.25" style="170" customWidth="1"/>
    <col min="11772" max="11772" width="9.875" style="170" customWidth="1"/>
    <col min="11773" max="11773" width="10.625" style="170" customWidth="1"/>
    <col min="11774" max="11774" width="20.75" style="170" customWidth="1"/>
    <col min="11775" max="11775" width="28.125" style="170" customWidth="1"/>
    <col min="11776" max="11776" width="39.25" style="170" bestFit="1" customWidth="1"/>
    <col min="11777" max="11777" width="10.375" style="170" customWidth="1"/>
    <col min="11778" max="11778" width="8.25" style="170" customWidth="1"/>
    <col min="11779" max="11779" width="7.75" style="170" customWidth="1"/>
    <col min="11780" max="11780" width="17.375" style="170" customWidth="1"/>
    <col min="11781" max="11781" width="14.75" style="170" customWidth="1"/>
    <col min="11782" max="11782" width="19.375" style="170" customWidth="1"/>
    <col min="11783" max="11783" width="18.25" style="170" bestFit="1" customWidth="1"/>
    <col min="11784" max="11784" width="14" style="170" customWidth="1"/>
    <col min="11785" max="11785" width="7.75" style="170" customWidth="1"/>
    <col min="11786" max="11786" width="22.875" style="170" customWidth="1"/>
    <col min="11787" max="11787" width="14" style="170" customWidth="1"/>
    <col min="11788" max="11788" width="18.625" style="170" customWidth="1"/>
    <col min="11789" max="11789" width="17.25" style="170" customWidth="1"/>
    <col min="11790" max="11790" width="7.75" style="170" customWidth="1"/>
    <col min="11791" max="11791" width="22.125" style="170" bestFit="1" customWidth="1"/>
    <col min="11792" max="11792" width="10.375" style="170" customWidth="1"/>
    <col min="11793" max="11794" width="9" style="170" customWidth="1"/>
    <col min="11795" max="11795" width="15" style="170" customWidth="1"/>
    <col min="11796" max="11796" width="30.125" style="170" bestFit="1" customWidth="1"/>
    <col min="11797" max="11797" width="34.875" style="170" customWidth="1"/>
    <col min="11798" max="11798" width="19.375" style="170" bestFit="1" customWidth="1"/>
    <col min="11799" max="11799" width="11.75" style="170" customWidth="1"/>
    <col min="11800" max="11800" width="7.75" style="170" customWidth="1"/>
    <col min="11801" max="11801" width="24.125" style="170" customWidth="1"/>
    <col min="11802" max="11802" width="27.375" style="170" customWidth="1"/>
    <col min="11803" max="11803" width="7.625" style="170" customWidth="1"/>
    <col min="11804" max="11804" width="32.25" style="170" customWidth="1"/>
    <col min="11805" max="11805" width="24.375" style="170" customWidth="1"/>
    <col min="11806" max="11806" width="9" style="170" customWidth="1"/>
    <col min="11807" max="11807" width="11" style="170" customWidth="1"/>
    <col min="11808" max="11808" width="9" style="170" customWidth="1"/>
    <col min="11809" max="11809" width="29.125" style="170" bestFit="1" customWidth="1"/>
    <col min="11810" max="11810" width="24.875" style="170" bestFit="1" customWidth="1"/>
    <col min="11811" max="11813" width="9" style="170" customWidth="1"/>
    <col min="11814" max="11814" width="29.375" style="170" bestFit="1" customWidth="1"/>
    <col min="11815" max="11815" width="21.625" style="170" bestFit="1" customWidth="1"/>
    <col min="11816" max="11818" width="9" style="170" customWidth="1"/>
    <col min="11819" max="11819" width="26.375" style="170" bestFit="1" customWidth="1"/>
    <col min="11820" max="11820" width="18.25" style="170" bestFit="1" customWidth="1"/>
    <col min="11821" max="11821" width="22.875" style="170" bestFit="1" customWidth="1"/>
    <col min="11822" max="11998" width="8.75" style="170"/>
    <col min="11999" max="11999" width="4.875" style="170" bestFit="1" customWidth="1"/>
    <col min="12000" max="12000" width="60.625" style="170" customWidth="1"/>
    <col min="12001" max="12001" width="11.25" style="170" customWidth="1"/>
    <col min="12002" max="12008" width="12" style="170" customWidth="1"/>
    <col min="12009" max="12009" width="9" style="170" customWidth="1"/>
    <col min="12010" max="12010" width="12" style="170" customWidth="1"/>
    <col min="12011" max="12011" width="39.25" style="170" bestFit="1" customWidth="1"/>
    <col min="12012" max="12012" width="9.375" style="170" customWidth="1"/>
    <col min="12013" max="12013" width="12.875" style="170" customWidth="1"/>
    <col min="12014" max="12014" width="9.375" style="170" customWidth="1"/>
    <col min="12015" max="12015" width="10.125" style="170" customWidth="1"/>
    <col min="12016" max="12016" width="9.375" style="170" customWidth="1"/>
    <col min="12017" max="12017" width="8.25" style="170" customWidth="1"/>
    <col min="12018" max="12018" width="9.875" style="170" customWidth="1"/>
    <col min="12019" max="12019" width="10.625" style="170" bestFit="1" customWidth="1"/>
    <col min="12020" max="12020" width="28.125" style="170" bestFit="1" customWidth="1"/>
    <col min="12021" max="12021" width="39.25" style="170" bestFit="1" customWidth="1"/>
    <col min="12022" max="12022" width="9.375" style="170" customWidth="1"/>
    <col min="12023" max="12023" width="12.875" style="170" customWidth="1"/>
    <col min="12024" max="12024" width="9.375" style="170" customWidth="1"/>
    <col min="12025" max="12025" width="10.125" style="170" customWidth="1"/>
    <col min="12026" max="12026" width="9.375" style="170" customWidth="1"/>
    <col min="12027" max="12027" width="8.25" style="170" customWidth="1"/>
    <col min="12028" max="12028" width="9.875" style="170" customWidth="1"/>
    <col min="12029" max="12029" width="10.625" style="170" customWidth="1"/>
    <col min="12030" max="12030" width="20.75" style="170" customWidth="1"/>
    <col min="12031" max="12031" width="28.125" style="170" customWidth="1"/>
    <col min="12032" max="12032" width="39.25" style="170" bestFit="1" customWidth="1"/>
    <col min="12033" max="12033" width="10.375" style="170" customWidth="1"/>
    <col min="12034" max="12034" width="8.25" style="170" customWidth="1"/>
    <col min="12035" max="12035" width="7.75" style="170" customWidth="1"/>
    <col min="12036" max="12036" width="17.375" style="170" customWidth="1"/>
    <col min="12037" max="12037" width="14.75" style="170" customWidth="1"/>
    <col min="12038" max="12038" width="19.375" style="170" customWidth="1"/>
    <col min="12039" max="12039" width="18.25" style="170" bestFit="1" customWidth="1"/>
    <col min="12040" max="12040" width="14" style="170" customWidth="1"/>
    <col min="12041" max="12041" width="7.75" style="170" customWidth="1"/>
    <col min="12042" max="12042" width="22.875" style="170" customWidth="1"/>
    <col min="12043" max="12043" width="14" style="170" customWidth="1"/>
    <col min="12044" max="12044" width="18.625" style="170" customWidth="1"/>
    <col min="12045" max="12045" width="17.25" style="170" customWidth="1"/>
    <col min="12046" max="12046" width="7.75" style="170" customWidth="1"/>
    <col min="12047" max="12047" width="22.125" style="170" bestFit="1" customWidth="1"/>
    <col min="12048" max="12048" width="10.375" style="170" customWidth="1"/>
    <col min="12049" max="12050" width="9" style="170" customWidth="1"/>
    <col min="12051" max="12051" width="15" style="170" customWidth="1"/>
    <col min="12052" max="12052" width="30.125" style="170" bestFit="1" customWidth="1"/>
    <col min="12053" max="12053" width="34.875" style="170" customWidth="1"/>
    <col min="12054" max="12054" width="19.375" style="170" bestFit="1" customWidth="1"/>
    <col min="12055" max="12055" width="11.75" style="170" customWidth="1"/>
    <col min="12056" max="12056" width="7.75" style="170" customWidth="1"/>
    <col min="12057" max="12057" width="24.125" style="170" customWidth="1"/>
    <col min="12058" max="12058" width="27.375" style="170" customWidth="1"/>
    <col min="12059" max="12059" width="7.625" style="170" customWidth="1"/>
    <col min="12060" max="12060" width="32.25" style="170" customWidth="1"/>
    <col min="12061" max="12061" width="24.375" style="170" customWidth="1"/>
    <col min="12062" max="12062" width="9" style="170" customWidth="1"/>
    <col min="12063" max="12063" width="11" style="170" customWidth="1"/>
    <col min="12064" max="12064" width="9" style="170" customWidth="1"/>
    <col min="12065" max="12065" width="29.125" style="170" bestFit="1" customWidth="1"/>
    <col min="12066" max="12066" width="24.875" style="170" bestFit="1" customWidth="1"/>
    <col min="12067" max="12069" width="9" style="170" customWidth="1"/>
    <col min="12070" max="12070" width="29.375" style="170" bestFit="1" customWidth="1"/>
    <col min="12071" max="12071" width="21.625" style="170" bestFit="1" customWidth="1"/>
    <col min="12072" max="12074" width="9" style="170" customWidth="1"/>
    <col min="12075" max="12075" width="26.375" style="170" bestFit="1" customWidth="1"/>
    <col min="12076" max="12076" width="18.25" style="170" bestFit="1" customWidth="1"/>
    <col min="12077" max="12077" width="22.875" style="170" bestFit="1" customWidth="1"/>
    <col min="12078" max="12254" width="8.75" style="170"/>
    <col min="12255" max="12255" width="4.875" style="170" bestFit="1" customWidth="1"/>
    <col min="12256" max="12256" width="60.625" style="170" customWidth="1"/>
    <col min="12257" max="12257" width="11.25" style="170" customWidth="1"/>
    <col min="12258" max="12264" width="12" style="170" customWidth="1"/>
    <col min="12265" max="12265" width="9" style="170" customWidth="1"/>
    <col min="12266" max="12266" width="12" style="170" customWidth="1"/>
    <col min="12267" max="12267" width="39.25" style="170" bestFit="1" customWidth="1"/>
    <col min="12268" max="12268" width="9.375" style="170" customWidth="1"/>
    <col min="12269" max="12269" width="12.875" style="170" customWidth="1"/>
    <col min="12270" max="12270" width="9.375" style="170" customWidth="1"/>
    <col min="12271" max="12271" width="10.125" style="170" customWidth="1"/>
    <col min="12272" max="12272" width="9.375" style="170" customWidth="1"/>
    <col min="12273" max="12273" width="8.25" style="170" customWidth="1"/>
    <col min="12274" max="12274" width="9.875" style="170" customWidth="1"/>
    <col min="12275" max="12275" width="10.625" style="170" bestFit="1" customWidth="1"/>
    <col min="12276" max="12276" width="28.125" style="170" bestFit="1" customWidth="1"/>
    <col min="12277" max="12277" width="39.25" style="170" bestFit="1" customWidth="1"/>
    <col min="12278" max="12278" width="9.375" style="170" customWidth="1"/>
    <col min="12279" max="12279" width="12.875" style="170" customWidth="1"/>
    <col min="12280" max="12280" width="9.375" style="170" customWidth="1"/>
    <col min="12281" max="12281" width="10.125" style="170" customWidth="1"/>
    <col min="12282" max="12282" width="9.375" style="170" customWidth="1"/>
    <col min="12283" max="12283" width="8.25" style="170" customWidth="1"/>
    <col min="12284" max="12284" width="9.875" style="170" customWidth="1"/>
    <col min="12285" max="12285" width="10.625" style="170" customWidth="1"/>
    <col min="12286" max="12286" width="20.75" style="170" customWidth="1"/>
    <col min="12287" max="12287" width="28.125" style="170" customWidth="1"/>
    <col min="12288" max="12288" width="39.25" style="170" bestFit="1" customWidth="1"/>
    <col min="12289" max="12289" width="10.375" style="170" customWidth="1"/>
    <col min="12290" max="12290" width="8.25" style="170" customWidth="1"/>
    <col min="12291" max="12291" width="7.75" style="170" customWidth="1"/>
    <col min="12292" max="12292" width="17.375" style="170" customWidth="1"/>
    <col min="12293" max="12293" width="14.75" style="170" customWidth="1"/>
    <col min="12294" max="12294" width="19.375" style="170" customWidth="1"/>
    <col min="12295" max="12295" width="18.25" style="170" bestFit="1" customWidth="1"/>
    <col min="12296" max="12296" width="14" style="170" customWidth="1"/>
    <col min="12297" max="12297" width="7.75" style="170" customWidth="1"/>
    <col min="12298" max="12298" width="22.875" style="170" customWidth="1"/>
    <col min="12299" max="12299" width="14" style="170" customWidth="1"/>
    <col min="12300" max="12300" width="18.625" style="170" customWidth="1"/>
    <col min="12301" max="12301" width="17.25" style="170" customWidth="1"/>
    <col min="12302" max="12302" width="7.75" style="170" customWidth="1"/>
    <col min="12303" max="12303" width="22.125" style="170" bestFit="1" customWidth="1"/>
    <col min="12304" max="12304" width="10.375" style="170" customWidth="1"/>
    <col min="12305" max="12306" width="9" style="170" customWidth="1"/>
    <col min="12307" max="12307" width="15" style="170" customWidth="1"/>
    <col min="12308" max="12308" width="30.125" style="170" bestFit="1" customWidth="1"/>
    <col min="12309" max="12309" width="34.875" style="170" customWidth="1"/>
    <col min="12310" max="12310" width="19.375" style="170" bestFit="1" customWidth="1"/>
    <col min="12311" max="12311" width="11.75" style="170" customWidth="1"/>
    <col min="12312" max="12312" width="7.75" style="170" customWidth="1"/>
    <col min="12313" max="12313" width="24.125" style="170" customWidth="1"/>
    <col min="12314" max="12314" width="27.375" style="170" customWidth="1"/>
    <col min="12315" max="12315" width="7.625" style="170" customWidth="1"/>
    <col min="12316" max="12316" width="32.25" style="170" customWidth="1"/>
    <col min="12317" max="12317" width="24.375" style="170" customWidth="1"/>
    <col min="12318" max="12318" width="9" style="170" customWidth="1"/>
    <col min="12319" max="12319" width="11" style="170" customWidth="1"/>
    <col min="12320" max="12320" width="9" style="170" customWidth="1"/>
    <col min="12321" max="12321" width="29.125" style="170" bestFit="1" customWidth="1"/>
    <col min="12322" max="12322" width="24.875" style="170" bestFit="1" customWidth="1"/>
    <col min="12323" max="12325" width="9" style="170" customWidth="1"/>
    <col min="12326" max="12326" width="29.375" style="170" bestFit="1" customWidth="1"/>
    <col min="12327" max="12327" width="21.625" style="170" bestFit="1" customWidth="1"/>
    <col min="12328" max="12330" width="9" style="170" customWidth="1"/>
    <col min="12331" max="12331" width="26.375" style="170" bestFit="1" customWidth="1"/>
    <col min="12332" max="12332" width="18.25" style="170" bestFit="1" customWidth="1"/>
    <col min="12333" max="12333" width="22.875" style="170" bestFit="1" customWidth="1"/>
    <col min="12334" max="12510" width="8.75" style="170"/>
    <col min="12511" max="12511" width="4.875" style="170" bestFit="1" customWidth="1"/>
    <col min="12512" max="12512" width="60.625" style="170" customWidth="1"/>
    <col min="12513" max="12513" width="11.25" style="170" customWidth="1"/>
    <col min="12514" max="12520" width="12" style="170" customWidth="1"/>
    <col min="12521" max="12521" width="9" style="170" customWidth="1"/>
    <col min="12522" max="12522" width="12" style="170" customWidth="1"/>
    <col min="12523" max="12523" width="39.25" style="170" bestFit="1" customWidth="1"/>
    <col min="12524" max="12524" width="9.375" style="170" customWidth="1"/>
    <col min="12525" max="12525" width="12.875" style="170" customWidth="1"/>
    <col min="12526" max="12526" width="9.375" style="170" customWidth="1"/>
    <col min="12527" max="12527" width="10.125" style="170" customWidth="1"/>
    <col min="12528" max="12528" width="9.375" style="170" customWidth="1"/>
    <col min="12529" max="12529" width="8.25" style="170" customWidth="1"/>
    <col min="12530" max="12530" width="9.875" style="170" customWidth="1"/>
    <col min="12531" max="12531" width="10.625" style="170" bestFit="1" customWidth="1"/>
    <col min="12532" max="12532" width="28.125" style="170" bestFit="1" customWidth="1"/>
    <col min="12533" max="12533" width="39.25" style="170" bestFit="1" customWidth="1"/>
    <col min="12534" max="12534" width="9.375" style="170" customWidth="1"/>
    <col min="12535" max="12535" width="12.875" style="170" customWidth="1"/>
    <col min="12536" max="12536" width="9.375" style="170" customWidth="1"/>
    <col min="12537" max="12537" width="10.125" style="170" customWidth="1"/>
    <col min="12538" max="12538" width="9.375" style="170" customWidth="1"/>
    <col min="12539" max="12539" width="8.25" style="170" customWidth="1"/>
    <col min="12540" max="12540" width="9.875" style="170" customWidth="1"/>
    <col min="12541" max="12541" width="10.625" style="170" customWidth="1"/>
    <col min="12542" max="12542" width="20.75" style="170" customWidth="1"/>
    <col min="12543" max="12543" width="28.125" style="170" customWidth="1"/>
    <col min="12544" max="12544" width="39.25" style="170" bestFit="1" customWidth="1"/>
    <col min="12545" max="12545" width="10.375" style="170" customWidth="1"/>
    <col min="12546" max="12546" width="8.25" style="170" customWidth="1"/>
    <col min="12547" max="12547" width="7.75" style="170" customWidth="1"/>
    <col min="12548" max="12548" width="17.375" style="170" customWidth="1"/>
    <col min="12549" max="12549" width="14.75" style="170" customWidth="1"/>
    <col min="12550" max="12550" width="19.375" style="170" customWidth="1"/>
    <col min="12551" max="12551" width="18.25" style="170" bestFit="1" customWidth="1"/>
    <col min="12552" max="12552" width="14" style="170" customWidth="1"/>
    <col min="12553" max="12553" width="7.75" style="170" customWidth="1"/>
    <col min="12554" max="12554" width="22.875" style="170" customWidth="1"/>
    <col min="12555" max="12555" width="14" style="170" customWidth="1"/>
    <col min="12556" max="12556" width="18.625" style="170" customWidth="1"/>
    <col min="12557" max="12557" width="17.25" style="170" customWidth="1"/>
    <col min="12558" max="12558" width="7.75" style="170" customWidth="1"/>
    <col min="12559" max="12559" width="22.125" style="170" bestFit="1" customWidth="1"/>
    <col min="12560" max="12560" width="10.375" style="170" customWidth="1"/>
    <col min="12561" max="12562" width="9" style="170" customWidth="1"/>
    <col min="12563" max="12563" width="15" style="170" customWidth="1"/>
    <col min="12564" max="12564" width="30.125" style="170" bestFit="1" customWidth="1"/>
    <col min="12565" max="12565" width="34.875" style="170" customWidth="1"/>
    <col min="12566" max="12566" width="19.375" style="170" bestFit="1" customWidth="1"/>
    <col min="12567" max="12567" width="11.75" style="170" customWidth="1"/>
    <col min="12568" max="12568" width="7.75" style="170" customWidth="1"/>
    <col min="12569" max="12569" width="24.125" style="170" customWidth="1"/>
    <col min="12570" max="12570" width="27.375" style="170" customWidth="1"/>
    <col min="12571" max="12571" width="7.625" style="170" customWidth="1"/>
    <col min="12572" max="12572" width="32.25" style="170" customWidth="1"/>
    <col min="12573" max="12573" width="24.375" style="170" customWidth="1"/>
    <col min="12574" max="12574" width="9" style="170" customWidth="1"/>
    <col min="12575" max="12575" width="11" style="170" customWidth="1"/>
    <col min="12576" max="12576" width="9" style="170" customWidth="1"/>
    <col min="12577" max="12577" width="29.125" style="170" bestFit="1" customWidth="1"/>
    <col min="12578" max="12578" width="24.875" style="170" bestFit="1" customWidth="1"/>
    <col min="12579" max="12581" width="9" style="170" customWidth="1"/>
    <col min="12582" max="12582" width="29.375" style="170" bestFit="1" customWidth="1"/>
    <col min="12583" max="12583" width="21.625" style="170" bestFit="1" customWidth="1"/>
    <col min="12584" max="12586" width="9" style="170" customWidth="1"/>
    <col min="12587" max="12587" width="26.375" style="170" bestFit="1" customWidth="1"/>
    <col min="12588" max="12588" width="18.25" style="170" bestFit="1" customWidth="1"/>
    <col min="12589" max="12589" width="22.875" style="170" bestFit="1" customWidth="1"/>
    <col min="12590" max="12766" width="8.75" style="170"/>
    <col min="12767" max="12767" width="4.875" style="170" bestFit="1" customWidth="1"/>
    <col min="12768" max="12768" width="60.625" style="170" customWidth="1"/>
    <col min="12769" max="12769" width="11.25" style="170" customWidth="1"/>
    <col min="12770" max="12776" width="12" style="170" customWidth="1"/>
    <col min="12777" max="12777" width="9" style="170" customWidth="1"/>
    <col min="12778" max="12778" width="12" style="170" customWidth="1"/>
    <col min="12779" max="12779" width="39.25" style="170" bestFit="1" customWidth="1"/>
    <col min="12780" max="12780" width="9.375" style="170" customWidth="1"/>
    <col min="12781" max="12781" width="12.875" style="170" customWidth="1"/>
    <col min="12782" max="12782" width="9.375" style="170" customWidth="1"/>
    <col min="12783" max="12783" width="10.125" style="170" customWidth="1"/>
    <col min="12784" max="12784" width="9.375" style="170" customWidth="1"/>
    <col min="12785" max="12785" width="8.25" style="170" customWidth="1"/>
    <col min="12786" max="12786" width="9.875" style="170" customWidth="1"/>
    <col min="12787" max="12787" width="10.625" style="170" bestFit="1" customWidth="1"/>
    <col min="12788" max="12788" width="28.125" style="170" bestFit="1" customWidth="1"/>
    <col min="12789" max="12789" width="39.25" style="170" bestFit="1" customWidth="1"/>
    <col min="12790" max="12790" width="9.375" style="170" customWidth="1"/>
    <col min="12791" max="12791" width="12.875" style="170" customWidth="1"/>
    <col min="12792" max="12792" width="9.375" style="170" customWidth="1"/>
    <col min="12793" max="12793" width="10.125" style="170" customWidth="1"/>
    <col min="12794" max="12794" width="9.375" style="170" customWidth="1"/>
    <col min="12795" max="12795" width="8.25" style="170" customWidth="1"/>
    <col min="12796" max="12796" width="9.875" style="170" customWidth="1"/>
    <col min="12797" max="12797" width="10.625" style="170" customWidth="1"/>
    <col min="12798" max="12798" width="20.75" style="170" customWidth="1"/>
    <col min="12799" max="12799" width="28.125" style="170" customWidth="1"/>
    <col min="12800" max="12800" width="39.25" style="170" bestFit="1" customWidth="1"/>
    <col min="12801" max="12801" width="10.375" style="170" customWidth="1"/>
    <col min="12802" max="12802" width="8.25" style="170" customWidth="1"/>
    <col min="12803" max="12803" width="7.75" style="170" customWidth="1"/>
    <col min="12804" max="12804" width="17.375" style="170" customWidth="1"/>
    <col min="12805" max="12805" width="14.75" style="170" customWidth="1"/>
    <col min="12806" max="12806" width="19.375" style="170" customWidth="1"/>
    <col min="12807" max="12807" width="18.25" style="170" bestFit="1" customWidth="1"/>
    <col min="12808" max="12808" width="14" style="170" customWidth="1"/>
    <col min="12809" max="12809" width="7.75" style="170" customWidth="1"/>
    <col min="12810" max="12810" width="22.875" style="170" customWidth="1"/>
    <col min="12811" max="12811" width="14" style="170" customWidth="1"/>
    <col min="12812" max="12812" width="18.625" style="170" customWidth="1"/>
    <col min="12813" max="12813" width="17.25" style="170" customWidth="1"/>
    <col min="12814" max="12814" width="7.75" style="170" customWidth="1"/>
    <col min="12815" max="12815" width="22.125" style="170" bestFit="1" customWidth="1"/>
    <col min="12816" max="12816" width="10.375" style="170" customWidth="1"/>
    <col min="12817" max="12818" width="9" style="170" customWidth="1"/>
    <col min="12819" max="12819" width="15" style="170" customWidth="1"/>
    <col min="12820" max="12820" width="30.125" style="170" bestFit="1" customWidth="1"/>
    <col min="12821" max="12821" width="34.875" style="170" customWidth="1"/>
    <col min="12822" max="12822" width="19.375" style="170" bestFit="1" customWidth="1"/>
    <col min="12823" max="12823" width="11.75" style="170" customWidth="1"/>
    <col min="12824" max="12824" width="7.75" style="170" customWidth="1"/>
    <col min="12825" max="12825" width="24.125" style="170" customWidth="1"/>
    <col min="12826" max="12826" width="27.375" style="170" customWidth="1"/>
    <col min="12827" max="12827" width="7.625" style="170" customWidth="1"/>
    <col min="12828" max="12828" width="32.25" style="170" customWidth="1"/>
    <col min="12829" max="12829" width="24.375" style="170" customWidth="1"/>
    <col min="12830" max="12830" width="9" style="170" customWidth="1"/>
    <col min="12831" max="12831" width="11" style="170" customWidth="1"/>
    <col min="12832" max="12832" width="9" style="170" customWidth="1"/>
    <col min="12833" max="12833" width="29.125" style="170" bestFit="1" customWidth="1"/>
    <col min="12834" max="12834" width="24.875" style="170" bestFit="1" customWidth="1"/>
    <col min="12835" max="12837" width="9" style="170" customWidth="1"/>
    <col min="12838" max="12838" width="29.375" style="170" bestFit="1" customWidth="1"/>
    <col min="12839" max="12839" width="21.625" style="170" bestFit="1" customWidth="1"/>
    <col min="12840" max="12842" width="9" style="170" customWidth="1"/>
    <col min="12843" max="12843" width="26.375" style="170" bestFit="1" customWidth="1"/>
    <col min="12844" max="12844" width="18.25" style="170" bestFit="1" customWidth="1"/>
    <col min="12845" max="12845" width="22.875" style="170" bestFit="1" customWidth="1"/>
    <col min="12846" max="13022" width="8.75" style="170"/>
    <col min="13023" max="13023" width="4.875" style="170" bestFit="1" customWidth="1"/>
    <col min="13024" max="13024" width="60.625" style="170" customWidth="1"/>
    <col min="13025" max="13025" width="11.25" style="170" customWidth="1"/>
    <col min="13026" max="13032" width="12" style="170" customWidth="1"/>
    <col min="13033" max="13033" width="9" style="170" customWidth="1"/>
    <col min="13034" max="13034" width="12" style="170" customWidth="1"/>
    <col min="13035" max="13035" width="39.25" style="170" bestFit="1" customWidth="1"/>
    <col min="13036" max="13036" width="9.375" style="170" customWidth="1"/>
    <col min="13037" max="13037" width="12.875" style="170" customWidth="1"/>
    <col min="13038" max="13038" width="9.375" style="170" customWidth="1"/>
    <col min="13039" max="13039" width="10.125" style="170" customWidth="1"/>
    <col min="13040" max="13040" width="9.375" style="170" customWidth="1"/>
    <col min="13041" max="13041" width="8.25" style="170" customWidth="1"/>
    <col min="13042" max="13042" width="9.875" style="170" customWidth="1"/>
    <col min="13043" max="13043" width="10.625" style="170" bestFit="1" customWidth="1"/>
    <col min="13044" max="13044" width="28.125" style="170" bestFit="1" customWidth="1"/>
    <col min="13045" max="13045" width="39.25" style="170" bestFit="1" customWidth="1"/>
    <col min="13046" max="13046" width="9.375" style="170" customWidth="1"/>
    <col min="13047" max="13047" width="12.875" style="170" customWidth="1"/>
    <col min="13048" max="13048" width="9.375" style="170" customWidth="1"/>
    <col min="13049" max="13049" width="10.125" style="170" customWidth="1"/>
    <col min="13050" max="13050" width="9.375" style="170" customWidth="1"/>
    <col min="13051" max="13051" width="8.25" style="170" customWidth="1"/>
    <col min="13052" max="13052" width="9.875" style="170" customWidth="1"/>
    <col min="13053" max="13053" width="10.625" style="170" customWidth="1"/>
    <col min="13054" max="13054" width="20.75" style="170" customWidth="1"/>
    <col min="13055" max="13055" width="28.125" style="170" customWidth="1"/>
    <col min="13056" max="13056" width="39.25" style="170" bestFit="1" customWidth="1"/>
    <col min="13057" max="13057" width="10.375" style="170" customWidth="1"/>
    <col min="13058" max="13058" width="8.25" style="170" customWidth="1"/>
    <col min="13059" max="13059" width="7.75" style="170" customWidth="1"/>
    <col min="13060" max="13060" width="17.375" style="170" customWidth="1"/>
    <col min="13061" max="13061" width="14.75" style="170" customWidth="1"/>
    <col min="13062" max="13062" width="19.375" style="170" customWidth="1"/>
    <col min="13063" max="13063" width="18.25" style="170" bestFit="1" customWidth="1"/>
    <col min="13064" max="13064" width="14" style="170" customWidth="1"/>
    <col min="13065" max="13065" width="7.75" style="170" customWidth="1"/>
    <col min="13066" max="13066" width="22.875" style="170" customWidth="1"/>
    <col min="13067" max="13067" width="14" style="170" customWidth="1"/>
    <col min="13068" max="13068" width="18.625" style="170" customWidth="1"/>
    <col min="13069" max="13069" width="17.25" style="170" customWidth="1"/>
    <col min="13070" max="13070" width="7.75" style="170" customWidth="1"/>
    <col min="13071" max="13071" width="22.125" style="170" bestFit="1" customWidth="1"/>
    <col min="13072" max="13072" width="10.375" style="170" customWidth="1"/>
    <col min="13073" max="13074" width="9" style="170" customWidth="1"/>
    <col min="13075" max="13075" width="15" style="170" customWidth="1"/>
    <col min="13076" max="13076" width="30.125" style="170" bestFit="1" customWidth="1"/>
    <col min="13077" max="13077" width="34.875" style="170" customWidth="1"/>
    <col min="13078" max="13078" width="19.375" style="170" bestFit="1" customWidth="1"/>
    <col min="13079" max="13079" width="11.75" style="170" customWidth="1"/>
    <col min="13080" max="13080" width="7.75" style="170" customWidth="1"/>
    <col min="13081" max="13081" width="24.125" style="170" customWidth="1"/>
    <col min="13082" max="13082" width="27.375" style="170" customWidth="1"/>
    <col min="13083" max="13083" width="7.625" style="170" customWidth="1"/>
    <col min="13084" max="13084" width="32.25" style="170" customWidth="1"/>
    <col min="13085" max="13085" width="24.375" style="170" customWidth="1"/>
    <col min="13086" max="13086" width="9" style="170" customWidth="1"/>
    <col min="13087" max="13087" width="11" style="170" customWidth="1"/>
    <col min="13088" max="13088" width="9" style="170" customWidth="1"/>
    <col min="13089" max="13089" width="29.125" style="170" bestFit="1" customWidth="1"/>
    <col min="13090" max="13090" width="24.875" style="170" bestFit="1" customWidth="1"/>
    <col min="13091" max="13093" width="9" style="170" customWidth="1"/>
    <col min="13094" max="13094" width="29.375" style="170" bestFit="1" customWidth="1"/>
    <col min="13095" max="13095" width="21.625" style="170" bestFit="1" customWidth="1"/>
    <col min="13096" max="13098" width="9" style="170" customWidth="1"/>
    <col min="13099" max="13099" width="26.375" style="170" bestFit="1" customWidth="1"/>
    <col min="13100" max="13100" width="18.25" style="170" bestFit="1" customWidth="1"/>
    <col min="13101" max="13101" width="22.875" style="170" bestFit="1" customWidth="1"/>
    <col min="13102" max="13278" width="8.75" style="170"/>
    <col min="13279" max="13279" width="4.875" style="170" bestFit="1" customWidth="1"/>
    <col min="13280" max="13280" width="60.625" style="170" customWidth="1"/>
    <col min="13281" max="13281" width="11.25" style="170" customWidth="1"/>
    <col min="13282" max="13288" width="12" style="170" customWidth="1"/>
    <col min="13289" max="13289" width="9" style="170" customWidth="1"/>
    <col min="13290" max="13290" width="12" style="170" customWidth="1"/>
    <col min="13291" max="13291" width="39.25" style="170" bestFit="1" customWidth="1"/>
    <col min="13292" max="13292" width="9.375" style="170" customWidth="1"/>
    <col min="13293" max="13293" width="12.875" style="170" customWidth="1"/>
    <col min="13294" max="13294" width="9.375" style="170" customWidth="1"/>
    <col min="13295" max="13295" width="10.125" style="170" customWidth="1"/>
    <col min="13296" max="13296" width="9.375" style="170" customWidth="1"/>
    <col min="13297" max="13297" width="8.25" style="170" customWidth="1"/>
    <col min="13298" max="13298" width="9.875" style="170" customWidth="1"/>
    <col min="13299" max="13299" width="10.625" style="170" bestFit="1" customWidth="1"/>
    <col min="13300" max="13300" width="28.125" style="170" bestFit="1" customWidth="1"/>
    <col min="13301" max="13301" width="39.25" style="170" bestFit="1" customWidth="1"/>
    <col min="13302" max="13302" width="9.375" style="170" customWidth="1"/>
    <col min="13303" max="13303" width="12.875" style="170" customWidth="1"/>
    <col min="13304" max="13304" width="9.375" style="170" customWidth="1"/>
    <col min="13305" max="13305" width="10.125" style="170" customWidth="1"/>
    <col min="13306" max="13306" width="9.375" style="170" customWidth="1"/>
    <col min="13307" max="13307" width="8.25" style="170" customWidth="1"/>
    <col min="13308" max="13308" width="9.875" style="170" customWidth="1"/>
    <col min="13309" max="13309" width="10.625" style="170" customWidth="1"/>
    <col min="13310" max="13310" width="20.75" style="170" customWidth="1"/>
    <col min="13311" max="13311" width="28.125" style="170" customWidth="1"/>
    <col min="13312" max="13312" width="39.25" style="170" bestFit="1" customWidth="1"/>
    <col min="13313" max="13313" width="10.375" style="170" customWidth="1"/>
    <col min="13314" max="13314" width="8.25" style="170" customWidth="1"/>
    <col min="13315" max="13315" width="7.75" style="170" customWidth="1"/>
    <col min="13316" max="13316" width="17.375" style="170" customWidth="1"/>
    <col min="13317" max="13317" width="14.75" style="170" customWidth="1"/>
    <col min="13318" max="13318" width="19.375" style="170" customWidth="1"/>
    <col min="13319" max="13319" width="18.25" style="170" bestFit="1" customWidth="1"/>
    <col min="13320" max="13320" width="14" style="170" customWidth="1"/>
    <col min="13321" max="13321" width="7.75" style="170" customWidth="1"/>
    <col min="13322" max="13322" width="22.875" style="170" customWidth="1"/>
    <col min="13323" max="13323" width="14" style="170" customWidth="1"/>
    <col min="13324" max="13324" width="18.625" style="170" customWidth="1"/>
    <col min="13325" max="13325" width="17.25" style="170" customWidth="1"/>
    <col min="13326" max="13326" width="7.75" style="170" customWidth="1"/>
    <col min="13327" max="13327" width="22.125" style="170" bestFit="1" customWidth="1"/>
    <col min="13328" max="13328" width="10.375" style="170" customWidth="1"/>
    <col min="13329" max="13330" width="9" style="170" customWidth="1"/>
    <col min="13331" max="13331" width="15" style="170" customWidth="1"/>
    <col min="13332" max="13332" width="30.125" style="170" bestFit="1" customWidth="1"/>
    <col min="13333" max="13333" width="34.875" style="170" customWidth="1"/>
    <col min="13334" max="13334" width="19.375" style="170" bestFit="1" customWidth="1"/>
    <col min="13335" max="13335" width="11.75" style="170" customWidth="1"/>
    <col min="13336" max="13336" width="7.75" style="170" customWidth="1"/>
    <col min="13337" max="13337" width="24.125" style="170" customWidth="1"/>
    <col min="13338" max="13338" width="27.375" style="170" customWidth="1"/>
    <col min="13339" max="13339" width="7.625" style="170" customWidth="1"/>
    <col min="13340" max="13340" width="32.25" style="170" customWidth="1"/>
    <col min="13341" max="13341" width="24.375" style="170" customWidth="1"/>
    <col min="13342" max="13342" width="9" style="170" customWidth="1"/>
    <col min="13343" max="13343" width="11" style="170" customWidth="1"/>
    <col min="13344" max="13344" width="9" style="170" customWidth="1"/>
    <col min="13345" max="13345" width="29.125" style="170" bestFit="1" customWidth="1"/>
    <col min="13346" max="13346" width="24.875" style="170" bestFit="1" customWidth="1"/>
    <col min="13347" max="13349" width="9" style="170" customWidth="1"/>
    <col min="13350" max="13350" width="29.375" style="170" bestFit="1" customWidth="1"/>
    <col min="13351" max="13351" width="21.625" style="170" bestFit="1" customWidth="1"/>
    <col min="13352" max="13354" width="9" style="170" customWidth="1"/>
    <col min="13355" max="13355" width="26.375" style="170" bestFit="1" customWidth="1"/>
    <col min="13356" max="13356" width="18.25" style="170" bestFit="1" customWidth="1"/>
    <col min="13357" max="13357" width="22.875" style="170" bestFit="1" customWidth="1"/>
    <col min="13358" max="13534" width="8.75" style="170"/>
    <col min="13535" max="13535" width="4.875" style="170" bestFit="1" customWidth="1"/>
    <col min="13536" max="13536" width="60.625" style="170" customWidth="1"/>
    <col min="13537" max="13537" width="11.25" style="170" customWidth="1"/>
    <col min="13538" max="13544" width="12" style="170" customWidth="1"/>
    <col min="13545" max="13545" width="9" style="170" customWidth="1"/>
    <col min="13546" max="13546" width="12" style="170" customWidth="1"/>
    <col min="13547" max="13547" width="39.25" style="170" bestFit="1" customWidth="1"/>
    <col min="13548" max="13548" width="9.375" style="170" customWidth="1"/>
    <col min="13549" max="13549" width="12.875" style="170" customWidth="1"/>
    <col min="13550" max="13550" width="9.375" style="170" customWidth="1"/>
    <col min="13551" max="13551" width="10.125" style="170" customWidth="1"/>
    <col min="13552" max="13552" width="9.375" style="170" customWidth="1"/>
    <col min="13553" max="13553" width="8.25" style="170" customWidth="1"/>
    <col min="13554" max="13554" width="9.875" style="170" customWidth="1"/>
    <col min="13555" max="13555" width="10.625" style="170" bestFit="1" customWidth="1"/>
    <col min="13556" max="13556" width="28.125" style="170" bestFit="1" customWidth="1"/>
    <col min="13557" max="13557" width="39.25" style="170" bestFit="1" customWidth="1"/>
    <col min="13558" max="13558" width="9.375" style="170" customWidth="1"/>
    <col min="13559" max="13559" width="12.875" style="170" customWidth="1"/>
    <col min="13560" max="13560" width="9.375" style="170" customWidth="1"/>
    <col min="13561" max="13561" width="10.125" style="170" customWidth="1"/>
    <col min="13562" max="13562" width="9.375" style="170" customWidth="1"/>
    <col min="13563" max="13563" width="8.25" style="170" customWidth="1"/>
    <col min="13564" max="13564" width="9.875" style="170" customWidth="1"/>
    <col min="13565" max="13565" width="10.625" style="170" customWidth="1"/>
    <col min="13566" max="13566" width="20.75" style="170" customWidth="1"/>
    <col min="13567" max="13567" width="28.125" style="170" customWidth="1"/>
    <col min="13568" max="13568" width="39.25" style="170" bestFit="1" customWidth="1"/>
    <col min="13569" max="13569" width="10.375" style="170" customWidth="1"/>
    <col min="13570" max="13570" width="8.25" style="170" customWidth="1"/>
    <col min="13571" max="13571" width="7.75" style="170" customWidth="1"/>
    <col min="13572" max="13572" width="17.375" style="170" customWidth="1"/>
    <col min="13573" max="13573" width="14.75" style="170" customWidth="1"/>
    <col min="13574" max="13574" width="19.375" style="170" customWidth="1"/>
    <col min="13575" max="13575" width="18.25" style="170" bestFit="1" customWidth="1"/>
    <col min="13576" max="13576" width="14" style="170" customWidth="1"/>
    <col min="13577" max="13577" width="7.75" style="170" customWidth="1"/>
    <col min="13578" max="13578" width="22.875" style="170" customWidth="1"/>
    <col min="13579" max="13579" width="14" style="170" customWidth="1"/>
    <col min="13580" max="13580" width="18.625" style="170" customWidth="1"/>
    <col min="13581" max="13581" width="17.25" style="170" customWidth="1"/>
    <col min="13582" max="13582" width="7.75" style="170" customWidth="1"/>
    <col min="13583" max="13583" width="22.125" style="170" bestFit="1" customWidth="1"/>
    <col min="13584" max="13584" width="10.375" style="170" customWidth="1"/>
    <col min="13585" max="13586" width="9" style="170" customWidth="1"/>
    <col min="13587" max="13587" width="15" style="170" customWidth="1"/>
    <col min="13588" max="13588" width="30.125" style="170" bestFit="1" customWidth="1"/>
    <col min="13589" max="13589" width="34.875" style="170" customWidth="1"/>
    <col min="13590" max="13590" width="19.375" style="170" bestFit="1" customWidth="1"/>
    <col min="13591" max="13591" width="11.75" style="170" customWidth="1"/>
    <col min="13592" max="13592" width="7.75" style="170" customWidth="1"/>
    <col min="13593" max="13593" width="24.125" style="170" customWidth="1"/>
    <col min="13594" max="13594" width="27.375" style="170" customWidth="1"/>
    <col min="13595" max="13595" width="7.625" style="170" customWidth="1"/>
    <col min="13596" max="13596" width="32.25" style="170" customWidth="1"/>
    <col min="13597" max="13597" width="24.375" style="170" customWidth="1"/>
    <col min="13598" max="13598" width="9" style="170" customWidth="1"/>
    <col min="13599" max="13599" width="11" style="170" customWidth="1"/>
    <col min="13600" max="13600" width="9" style="170" customWidth="1"/>
    <col min="13601" max="13601" width="29.125" style="170" bestFit="1" customWidth="1"/>
    <col min="13602" max="13602" width="24.875" style="170" bestFit="1" customWidth="1"/>
    <col min="13603" max="13605" width="9" style="170" customWidth="1"/>
    <col min="13606" max="13606" width="29.375" style="170" bestFit="1" customWidth="1"/>
    <col min="13607" max="13607" width="21.625" style="170" bestFit="1" customWidth="1"/>
    <col min="13608" max="13610" width="9" style="170" customWidth="1"/>
    <col min="13611" max="13611" width="26.375" style="170" bestFit="1" customWidth="1"/>
    <col min="13612" max="13612" width="18.25" style="170" bestFit="1" customWidth="1"/>
    <col min="13613" max="13613" width="22.875" style="170" bestFit="1" customWidth="1"/>
    <col min="13614" max="13790" width="8.75" style="170"/>
    <col min="13791" max="13791" width="4.875" style="170" bestFit="1" customWidth="1"/>
    <col min="13792" max="13792" width="60.625" style="170" customWidth="1"/>
    <col min="13793" max="13793" width="11.25" style="170" customWidth="1"/>
    <col min="13794" max="13800" width="12" style="170" customWidth="1"/>
    <col min="13801" max="13801" width="9" style="170" customWidth="1"/>
    <col min="13802" max="13802" width="12" style="170" customWidth="1"/>
    <col min="13803" max="13803" width="39.25" style="170" bestFit="1" customWidth="1"/>
    <col min="13804" max="13804" width="9.375" style="170" customWidth="1"/>
    <col min="13805" max="13805" width="12.875" style="170" customWidth="1"/>
    <col min="13806" max="13806" width="9.375" style="170" customWidth="1"/>
    <col min="13807" max="13807" width="10.125" style="170" customWidth="1"/>
    <col min="13808" max="13808" width="9.375" style="170" customWidth="1"/>
    <col min="13809" max="13809" width="8.25" style="170" customWidth="1"/>
    <col min="13810" max="13810" width="9.875" style="170" customWidth="1"/>
    <col min="13811" max="13811" width="10.625" style="170" bestFit="1" customWidth="1"/>
    <col min="13812" max="13812" width="28.125" style="170" bestFit="1" customWidth="1"/>
    <col min="13813" max="13813" width="39.25" style="170" bestFit="1" customWidth="1"/>
    <col min="13814" max="13814" width="9.375" style="170" customWidth="1"/>
    <col min="13815" max="13815" width="12.875" style="170" customWidth="1"/>
    <col min="13816" max="13816" width="9.375" style="170" customWidth="1"/>
    <col min="13817" max="13817" width="10.125" style="170" customWidth="1"/>
    <col min="13818" max="13818" width="9.375" style="170" customWidth="1"/>
    <col min="13819" max="13819" width="8.25" style="170" customWidth="1"/>
    <col min="13820" max="13820" width="9.875" style="170" customWidth="1"/>
    <col min="13821" max="13821" width="10.625" style="170" customWidth="1"/>
    <col min="13822" max="13822" width="20.75" style="170" customWidth="1"/>
    <col min="13823" max="13823" width="28.125" style="170" customWidth="1"/>
    <col min="13824" max="13824" width="39.25" style="170" bestFit="1" customWidth="1"/>
    <col min="13825" max="13825" width="10.375" style="170" customWidth="1"/>
    <col min="13826" max="13826" width="8.25" style="170" customWidth="1"/>
    <col min="13827" max="13827" width="7.75" style="170" customWidth="1"/>
    <col min="13828" max="13828" width="17.375" style="170" customWidth="1"/>
    <col min="13829" max="13829" width="14.75" style="170" customWidth="1"/>
    <col min="13830" max="13830" width="19.375" style="170" customWidth="1"/>
    <col min="13831" max="13831" width="18.25" style="170" bestFit="1" customWidth="1"/>
    <col min="13832" max="13832" width="14" style="170" customWidth="1"/>
    <col min="13833" max="13833" width="7.75" style="170" customWidth="1"/>
    <col min="13834" max="13834" width="22.875" style="170" customWidth="1"/>
    <col min="13835" max="13835" width="14" style="170" customWidth="1"/>
    <col min="13836" max="13836" width="18.625" style="170" customWidth="1"/>
    <col min="13837" max="13837" width="17.25" style="170" customWidth="1"/>
    <col min="13838" max="13838" width="7.75" style="170" customWidth="1"/>
    <col min="13839" max="13839" width="22.125" style="170" bestFit="1" customWidth="1"/>
    <col min="13840" max="13840" width="10.375" style="170" customWidth="1"/>
    <col min="13841" max="13842" width="9" style="170" customWidth="1"/>
    <col min="13843" max="13843" width="15" style="170" customWidth="1"/>
    <col min="13844" max="13844" width="30.125" style="170" bestFit="1" customWidth="1"/>
    <col min="13845" max="13845" width="34.875" style="170" customWidth="1"/>
    <col min="13846" max="13846" width="19.375" style="170" bestFit="1" customWidth="1"/>
    <col min="13847" max="13847" width="11.75" style="170" customWidth="1"/>
    <col min="13848" max="13848" width="7.75" style="170" customWidth="1"/>
    <col min="13849" max="13849" width="24.125" style="170" customWidth="1"/>
    <col min="13850" max="13850" width="27.375" style="170" customWidth="1"/>
    <col min="13851" max="13851" width="7.625" style="170" customWidth="1"/>
    <col min="13852" max="13852" width="32.25" style="170" customWidth="1"/>
    <col min="13853" max="13853" width="24.375" style="170" customWidth="1"/>
    <col min="13854" max="13854" width="9" style="170" customWidth="1"/>
    <col min="13855" max="13855" width="11" style="170" customWidth="1"/>
    <col min="13856" max="13856" width="9" style="170" customWidth="1"/>
    <col min="13857" max="13857" width="29.125" style="170" bestFit="1" customWidth="1"/>
    <col min="13858" max="13858" width="24.875" style="170" bestFit="1" customWidth="1"/>
    <col min="13859" max="13861" width="9" style="170" customWidth="1"/>
    <col min="13862" max="13862" width="29.375" style="170" bestFit="1" customWidth="1"/>
    <col min="13863" max="13863" width="21.625" style="170" bestFit="1" customWidth="1"/>
    <col min="13864" max="13866" width="9" style="170" customWidth="1"/>
    <col min="13867" max="13867" width="26.375" style="170" bestFit="1" customWidth="1"/>
    <col min="13868" max="13868" width="18.25" style="170" bestFit="1" customWidth="1"/>
    <col min="13869" max="13869" width="22.875" style="170" bestFit="1" customWidth="1"/>
    <col min="13870" max="14046" width="8.75" style="170"/>
    <col min="14047" max="14047" width="4.875" style="170" bestFit="1" customWidth="1"/>
    <col min="14048" max="14048" width="60.625" style="170" customWidth="1"/>
    <col min="14049" max="14049" width="11.25" style="170" customWidth="1"/>
    <col min="14050" max="14056" width="12" style="170" customWidth="1"/>
    <col min="14057" max="14057" width="9" style="170" customWidth="1"/>
    <col min="14058" max="14058" width="12" style="170" customWidth="1"/>
    <col min="14059" max="14059" width="39.25" style="170" bestFit="1" customWidth="1"/>
    <col min="14060" max="14060" width="9.375" style="170" customWidth="1"/>
    <col min="14061" max="14061" width="12.875" style="170" customWidth="1"/>
    <col min="14062" max="14062" width="9.375" style="170" customWidth="1"/>
    <col min="14063" max="14063" width="10.125" style="170" customWidth="1"/>
    <col min="14064" max="14064" width="9.375" style="170" customWidth="1"/>
    <col min="14065" max="14065" width="8.25" style="170" customWidth="1"/>
    <col min="14066" max="14066" width="9.875" style="170" customWidth="1"/>
    <col min="14067" max="14067" width="10.625" style="170" bestFit="1" customWidth="1"/>
    <col min="14068" max="14068" width="28.125" style="170" bestFit="1" customWidth="1"/>
    <col min="14069" max="14069" width="39.25" style="170" bestFit="1" customWidth="1"/>
    <col min="14070" max="14070" width="9.375" style="170" customWidth="1"/>
    <col min="14071" max="14071" width="12.875" style="170" customWidth="1"/>
    <col min="14072" max="14072" width="9.375" style="170" customWidth="1"/>
    <col min="14073" max="14073" width="10.125" style="170" customWidth="1"/>
    <col min="14074" max="14074" width="9.375" style="170" customWidth="1"/>
    <col min="14075" max="14075" width="8.25" style="170" customWidth="1"/>
    <col min="14076" max="14076" width="9.875" style="170" customWidth="1"/>
    <col min="14077" max="14077" width="10.625" style="170" customWidth="1"/>
    <col min="14078" max="14078" width="20.75" style="170" customWidth="1"/>
    <col min="14079" max="14079" width="28.125" style="170" customWidth="1"/>
    <col min="14080" max="14080" width="39.25" style="170" bestFit="1" customWidth="1"/>
    <col min="14081" max="14081" width="10.375" style="170" customWidth="1"/>
    <col min="14082" max="14082" width="8.25" style="170" customWidth="1"/>
    <col min="14083" max="14083" width="7.75" style="170" customWidth="1"/>
    <col min="14084" max="14084" width="17.375" style="170" customWidth="1"/>
    <col min="14085" max="14085" width="14.75" style="170" customWidth="1"/>
    <col min="14086" max="14086" width="19.375" style="170" customWidth="1"/>
    <col min="14087" max="14087" width="18.25" style="170" bestFit="1" customWidth="1"/>
    <col min="14088" max="14088" width="14" style="170" customWidth="1"/>
    <col min="14089" max="14089" width="7.75" style="170" customWidth="1"/>
    <col min="14090" max="14090" width="22.875" style="170" customWidth="1"/>
    <col min="14091" max="14091" width="14" style="170" customWidth="1"/>
    <col min="14092" max="14092" width="18.625" style="170" customWidth="1"/>
    <col min="14093" max="14093" width="17.25" style="170" customWidth="1"/>
    <col min="14094" max="14094" width="7.75" style="170" customWidth="1"/>
    <col min="14095" max="14095" width="22.125" style="170" bestFit="1" customWidth="1"/>
    <col min="14096" max="14096" width="10.375" style="170" customWidth="1"/>
    <col min="14097" max="14098" width="9" style="170" customWidth="1"/>
    <col min="14099" max="14099" width="15" style="170" customWidth="1"/>
    <col min="14100" max="14100" width="30.125" style="170" bestFit="1" customWidth="1"/>
    <col min="14101" max="14101" width="34.875" style="170" customWidth="1"/>
    <col min="14102" max="14102" width="19.375" style="170" bestFit="1" customWidth="1"/>
    <col min="14103" max="14103" width="11.75" style="170" customWidth="1"/>
    <col min="14104" max="14104" width="7.75" style="170" customWidth="1"/>
    <col min="14105" max="14105" width="24.125" style="170" customWidth="1"/>
    <col min="14106" max="14106" width="27.375" style="170" customWidth="1"/>
    <col min="14107" max="14107" width="7.625" style="170" customWidth="1"/>
    <col min="14108" max="14108" width="32.25" style="170" customWidth="1"/>
    <col min="14109" max="14109" width="24.375" style="170" customWidth="1"/>
    <col min="14110" max="14110" width="9" style="170" customWidth="1"/>
    <col min="14111" max="14111" width="11" style="170" customWidth="1"/>
    <col min="14112" max="14112" width="9" style="170" customWidth="1"/>
    <col min="14113" max="14113" width="29.125" style="170" bestFit="1" customWidth="1"/>
    <col min="14114" max="14114" width="24.875" style="170" bestFit="1" customWidth="1"/>
    <col min="14115" max="14117" width="9" style="170" customWidth="1"/>
    <col min="14118" max="14118" width="29.375" style="170" bestFit="1" customWidth="1"/>
    <col min="14119" max="14119" width="21.625" style="170" bestFit="1" customWidth="1"/>
    <col min="14120" max="14122" width="9" style="170" customWidth="1"/>
    <col min="14123" max="14123" width="26.375" style="170" bestFit="1" customWidth="1"/>
    <col min="14124" max="14124" width="18.25" style="170" bestFit="1" customWidth="1"/>
    <col min="14125" max="14125" width="22.875" style="170" bestFit="1" customWidth="1"/>
    <col min="14126" max="14302" width="8.75" style="170"/>
    <col min="14303" max="14303" width="4.875" style="170" bestFit="1" customWidth="1"/>
    <col min="14304" max="14304" width="60.625" style="170" customWidth="1"/>
    <col min="14305" max="14305" width="11.25" style="170" customWidth="1"/>
    <col min="14306" max="14312" width="12" style="170" customWidth="1"/>
    <col min="14313" max="14313" width="9" style="170" customWidth="1"/>
    <col min="14314" max="14314" width="12" style="170" customWidth="1"/>
    <col min="14315" max="14315" width="39.25" style="170" bestFit="1" customWidth="1"/>
    <col min="14316" max="14316" width="9.375" style="170" customWidth="1"/>
    <col min="14317" max="14317" width="12.875" style="170" customWidth="1"/>
    <col min="14318" max="14318" width="9.375" style="170" customWidth="1"/>
    <col min="14319" max="14319" width="10.125" style="170" customWidth="1"/>
    <col min="14320" max="14320" width="9.375" style="170" customWidth="1"/>
    <col min="14321" max="14321" width="8.25" style="170" customWidth="1"/>
    <col min="14322" max="14322" width="9.875" style="170" customWidth="1"/>
    <col min="14323" max="14323" width="10.625" style="170" bestFit="1" customWidth="1"/>
    <col min="14324" max="14324" width="28.125" style="170" bestFit="1" customWidth="1"/>
    <col min="14325" max="14325" width="39.25" style="170" bestFit="1" customWidth="1"/>
    <col min="14326" max="14326" width="9.375" style="170" customWidth="1"/>
    <col min="14327" max="14327" width="12.875" style="170" customWidth="1"/>
    <col min="14328" max="14328" width="9.375" style="170" customWidth="1"/>
    <col min="14329" max="14329" width="10.125" style="170" customWidth="1"/>
    <col min="14330" max="14330" width="9.375" style="170" customWidth="1"/>
    <col min="14331" max="14331" width="8.25" style="170" customWidth="1"/>
    <col min="14332" max="14332" width="9.875" style="170" customWidth="1"/>
    <col min="14333" max="14333" width="10.625" style="170" customWidth="1"/>
    <col min="14334" max="14334" width="20.75" style="170" customWidth="1"/>
    <col min="14335" max="14335" width="28.125" style="170" customWidth="1"/>
    <col min="14336" max="14336" width="39.25" style="170" bestFit="1" customWidth="1"/>
    <col min="14337" max="14337" width="10.375" style="170" customWidth="1"/>
    <col min="14338" max="14338" width="8.25" style="170" customWidth="1"/>
    <col min="14339" max="14339" width="7.75" style="170" customWidth="1"/>
    <col min="14340" max="14340" width="17.375" style="170" customWidth="1"/>
    <col min="14341" max="14341" width="14.75" style="170" customWidth="1"/>
    <col min="14342" max="14342" width="19.375" style="170" customWidth="1"/>
    <col min="14343" max="14343" width="18.25" style="170" bestFit="1" customWidth="1"/>
    <col min="14344" max="14344" width="14" style="170" customWidth="1"/>
    <col min="14345" max="14345" width="7.75" style="170" customWidth="1"/>
    <col min="14346" max="14346" width="22.875" style="170" customWidth="1"/>
    <col min="14347" max="14347" width="14" style="170" customWidth="1"/>
    <col min="14348" max="14348" width="18.625" style="170" customWidth="1"/>
    <col min="14349" max="14349" width="17.25" style="170" customWidth="1"/>
    <col min="14350" max="14350" width="7.75" style="170" customWidth="1"/>
    <col min="14351" max="14351" width="22.125" style="170" bestFit="1" customWidth="1"/>
    <col min="14352" max="14352" width="10.375" style="170" customWidth="1"/>
    <col min="14353" max="14354" width="9" style="170" customWidth="1"/>
    <col min="14355" max="14355" width="15" style="170" customWidth="1"/>
    <col min="14356" max="14356" width="30.125" style="170" bestFit="1" customWidth="1"/>
    <col min="14357" max="14357" width="34.875" style="170" customWidth="1"/>
    <col min="14358" max="14358" width="19.375" style="170" bestFit="1" customWidth="1"/>
    <col min="14359" max="14359" width="11.75" style="170" customWidth="1"/>
    <col min="14360" max="14360" width="7.75" style="170" customWidth="1"/>
    <col min="14361" max="14361" width="24.125" style="170" customWidth="1"/>
    <col min="14362" max="14362" width="27.375" style="170" customWidth="1"/>
    <col min="14363" max="14363" width="7.625" style="170" customWidth="1"/>
    <col min="14364" max="14364" width="32.25" style="170" customWidth="1"/>
    <col min="14365" max="14365" width="24.375" style="170" customWidth="1"/>
    <col min="14366" max="14366" width="9" style="170" customWidth="1"/>
    <col min="14367" max="14367" width="11" style="170" customWidth="1"/>
    <col min="14368" max="14368" width="9" style="170" customWidth="1"/>
    <col min="14369" max="14369" width="29.125" style="170" bestFit="1" customWidth="1"/>
    <col min="14370" max="14370" width="24.875" style="170" bestFit="1" customWidth="1"/>
    <col min="14371" max="14373" width="9" style="170" customWidth="1"/>
    <col min="14374" max="14374" width="29.375" style="170" bestFit="1" customWidth="1"/>
    <col min="14375" max="14375" width="21.625" style="170" bestFit="1" customWidth="1"/>
    <col min="14376" max="14378" width="9" style="170" customWidth="1"/>
    <col min="14379" max="14379" width="26.375" style="170" bestFit="1" customWidth="1"/>
    <col min="14380" max="14380" width="18.25" style="170" bestFit="1" customWidth="1"/>
    <col min="14381" max="14381" width="22.875" style="170" bestFit="1" customWidth="1"/>
    <col min="14382" max="14558" width="8.75" style="170"/>
    <col min="14559" max="14559" width="4.875" style="170" bestFit="1" customWidth="1"/>
    <col min="14560" max="14560" width="60.625" style="170" customWidth="1"/>
    <col min="14561" max="14561" width="11.25" style="170" customWidth="1"/>
    <col min="14562" max="14568" width="12" style="170" customWidth="1"/>
    <col min="14569" max="14569" width="9" style="170" customWidth="1"/>
    <col min="14570" max="14570" width="12" style="170" customWidth="1"/>
    <col min="14571" max="14571" width="39.25" style="170" bestFit="1" customWidth="1"/>
    <col min="14572" max="14572" width="9.375" style="170" customWidth="1"/>
    <col min="14573" max="14573" width="12.875" style="170" customWidth="1"/>
    <col min="14574" max="14574" width="9.375" style="170" customWidth="1"/>
    <col min="14575" max="14575" width="10.125" style="170" customWidth="1"/>
    <col min="14576" max="14576" width="9.375" style="170" customWidth="1"/>
    <col min="14577" max="14577" width="8.25" style="170" customWidth="1"/>
    <col min="14578" max="14578" width="9.875" style="170" customWidth="1"/>
    <col min="14579" max="14579" width="10.625" style="170" bestFit="1" customWidth="1"/>
    <col min="14580" max="14580" width="28.125" style="170" bestFit="1" customWidth="1"/>
    <col min="14581" max="14581" width="39.25" style="170" bestFit="1" customWidth="1"/>
    <col min="14582" max="14582" width="9.375" style="170" customWidth="1"/>
    <col min="14583" max="14583" width="12.875" style="170" customWidth="1"/>
    <col min="14584" max="14584" width="9.375" style="170" customWidth="1"/>
    <col min="14585" max="14585" width="10.125" style="170" customWidth="1"/>
    <col min="14586" max="14586" width="9.375" style="170" customWidth="1"/>
    <col min="14587" max="14587" width="8.25" style="170" customWidth="1"/>
    <col min="14588" max="14588" width="9.875" style="170" customWidth="1"/>
    <col min="14589" max="14589" width="10.625" style="170" customWidth="1"/>
    <col min="14590" max="14590" width="20.75" style="170" customWidth="1"/>
    <col min="14591" max="14591" width="28.125" style="170" customWidth="1"/>
    <col min="14592" max="14592" width="39.25" style="170" bestFit="1" customWidth="1"/>
    <col min="14593" max="14593" width="10.375" style="170" customWidth="1"/>
    <col min="14594" max="14594" width="8.25" style="170" customWidth="1"/>
    <col min="14595" max="14595" width="7.75" style="170" customWidth="1"/>
    <col min="14596" max="14596" width="17.375" style="170" customWidth="1"/>
    <col min="14597" max="14597" width="14.75" style="170" customWidth="1"/>
    <col min="14598" max="14598" width="19.375" style="170" customWidth="1"/>
    <col min="14599" max="14599" width="18.25" style="170" bestFit="1" customWidth="1"/>
    <col min="14600" max="14600" width="14" style="170" customWidth="1"/>
    <col min="14601" max="14601" width="7.75" style="170" customWidth="1"/>
    <col min="14602" max="14602" width="22.875" style="170" customWidth="1"/>
    <col min="14603" max="14603" width="14" style="170" customWidth="1"/>
    <col min="14604" max="14604" width="18.625" style="170" customWidth="1"/>
    <col min="14605" max="14605" width="17.25" style="170" customWidth="1"/>
    <col min="14606" max="14606" width="7.75" style="170" customWidth="1"/>
    <col min="14607" max="14607" width="22.125" style="170" bestFit="1" customWidth="1"/>
    <col min="14608" max="14608" width="10.375" style="170" customWidth="1"/>
    <col min="14609" max="14610" width="9" style="170" customWidth="1"/>
    <col min="14611" max="14611" width="15" style="170" customWidth="1"/>
    <col min="14612" max="14612" width="30.125" style="170" bestFit="1" customWidth="1"/>
    <col min="14613" max="14613" width="34.875" style="170" customWidth="1"/>
    <col min="14614" max="14614" width="19.375" style="170" bestFit="1" customWidth="1"/>
    <col min="14615" max="14615" width="11.75" style="170" customWidth="1"/>
    <col min="14616" max="14616" width="7.75" style="170" customWidth="1"/>
    <col min="14617" max="14617" width="24.125" style="170" customWidth="1"/>
    <col min="14618" max="14618" width="27.375" style="170" customWidth="1"/>
    <col min="14619" max="14619" width="7.625" style="170" customWidth="1"/>
    <col min="14620" max="14620" width="32.25" style="170" customWidth="1"/>
    <col min="14621" max="14621" width="24.375" style="170" customWidth="1"/>
    <col min="14622" max="14622" width="9" style="170" customWidth="1"/>
    <col min="14623" max="14623" width="11" style="170" customWidth="1"/>
    <col min="14624" max="14624" width="9" style="170" customWidth="1"/>
    <col min="14625" max="14625" width="29.125" style="170" bestFit="1" customWidth="1"/>
    <col min="14626" max="14626" width="24.875" style="170" bestFit="1" customWidth="1"/>
    <col min="14627" max="14629" width="9" style="170" customWidth="1"/>
    <col min="14630" max="14630" width="29.375" style="170" bestFit="1" customWidth="1"/>
    <col min="14631" max="14631" width="21.625" style="170" bestFit="1" customWidth="1"/>
    <col min="14632" max="14634" width="9" style="170" customWidth="1"/>
    <col min="14635" max="14635" width="26.375" style="170" bestFit="1" customWidth="1"/>
    <col min="14636" max="14636" width="18.25" style="170" bestFit="1" customWidth="1"/>
    <col min="14637" max="14637" width="22.875" style="170" bestFit="1" customWidth="1"/>
    <col min="14638" max="14814" width="8.75" style="170"/>
    <col min="14815" max="14815" width="4.875" style="170" bestFit="1" customWidth="1"/>
    <col min="14816" max="14816" width="60.625" style="170" customWidth="1"/>
    <col min="14817" max="14817" width="11.25" style="170" customWidth="1"/>
    <col min="14818" max="14824" width="12" style="170" customWidth="1"/>
    <col min="14825" max="14825" width="9" style="170" customWidth="1"/>
    <col min="14826" max="14826" width="12" style="170" customWidth="1"/>
    <col min="14827" max="14827" width="39.25" style="170" bestFit="1" customWidth="1"/>
    <col min="14828" max="14828" width="9.375" style="170" customWidth="1"/>
    <col min="14829" max="14829" width="12.875" style="170" customWidth="1"/>
    <col min="14830" max="14830" width="9.375" style="170" customWidth="1"/>
    <col min="14831" max="14831" width="10.125" style="170" customWidth="1"/>
    <col min="14832" max="14832" width="9.375" style="170" customWidth="1"/>
    <col min="14833" max="14833" width="8.25" style="170" customWidth="1"/>
    <col min="14834" max="14834" width="9.875" style="170" customWidth="1"/>
    <col min="14835" max="14835" width="10.625" style="170" bestFit="1" customWidth="1"/>
    <col min="14836" max="14836" width="28.125" style="170" bestFit="1" customWidth="1"/>
    <col min="14837" max="14837" width="39.25" style="170" bestFit="1" customWidth="1"/>
    <col min="14838" max="14838" width="9.375" style="170" customWidth="1"/>
    <col min="14839" max="14839" width="12.875" style="170" customWidth="1"/>
    <col min="14840" max="14840" width="9.375" style="170" customWidth="1"/>
    <col min="14841" max="14841" width="10.125" style="170" customWidth="1"/>
    <col min="14842" max="14842" width="9.375" style="170" customWidth="1"/>
    <col min="14843" max="14843" width="8.25" style="170" customWidth="1"/>
    <col min="14844" max="14844" width="9.875" style="170" customWidth="1"/>
    <col min="14845" max="14845" width="10.625" style="170" customWidth="1"/>
    <col min="14846" max="14846" width="20.75" style="170" customWidth="1"/>
    <col min="14847" max="14847" width="28.125" style="170" customWidth="1"/>
    <col min="14848" max="14848" width="39.25" style="170" bestFit="1" customWidth="1"/>
    <col min="14849" max="14849" width="10.375" style="170" customWidth="1"/>
    <col min="14850" max="14850" width="8.25" style="170" customWidth="1"/>
    <col min="14851" max="14851" width="7.75" style="170" customWidth="1"/>
    <col min="14852" max="14852" width="17.375" style="170" customWidth="1"/>
    <col min="14853" max="14853" width="14.75" style="170" customWidth="1"/>
    <col min="14854" max="14854" width="19.375" style="170" customWidth="1"/>
    <col min="14855" max="14855" width="18.25" style="170" bestFit="1" customWidth="1"/>
    <col min="14856" max="14856" width="14" style="170" customWidth="1"/>
    <col min="14857" max="14857" width="7.75" style="170" customWidth="1"/>
    <col min="14858" max="14858" width="22.875" style="170" customWidth="1"/>
    <col min="14859" max="14859" width="14" style="170" customWidth="1"/>
    <col min="14860" max="14860" width="18.625" style="170" customWidth="1"/>
    <col min="14861" max="14861" width="17.25" style="170" customWidth="1"/>
    <col min="14862" max="14862" width="7.75" style="170" customWidth="1"/>
    <col min="14863" max="14863" width="22.125" style="170" bestFit="1" customWidth="1"/>
    <col min="14864" max="14864" width="10.375" style="170" customWidth="1"/>
    <col min="14865" max="14866" width="9" style="170" customWidth="1"/>
    <col min="14867" max="14867" width="15" style="170" customWidth="1"/>
    <col min="14868" max="14868" width="30.125" style="170" bestFit="1" customWidth="1"/>
    <col min="14869" max="14869" width="34.875" style="170" customWidth="1"/>
    <col min="14870" max="14870" width="19.375" style="170" bestFit="1" customWidth="1"/>
    <col min="14871" max="14871" width="11.75" style="170" customWidth="1"/>
    <col min="14872" max="14872" width="7.75" style="170" customWidth="1"/>
    <col min="14873" max="14873" width="24.125" style="170" customWidth="1"/>
    <col min="14874" max="14874" width="27.375" style="170" customWidth="1"/>
    <col min="14875" max="14875" width="7.625" style="170" customWidth="1"/>
    <col min="14876" max="14876" width="32.25" style="170" customWidth="1"/>
    <col min="14877" max="14877" width="24.375" style="170" customWidth="1"/>
    <col min="14878" max="14878" width="9" style="170" customWidth="1"/>
    <col min="14879" max="14879" width="11" style="170" customWidth="1"/>
    <col min="14880" max="14880" width="9" style="170" customWidth="1"/>
    <col min="14881" max="14881" width="29.125" style="170" bestFit="1" customWidth="1"/>
    <col min="14882" max="14882" width="24.875" style="170" bestFit="1" customWidth="1"/>
    <col min="14883" max="14885" width="9" style="170" customWidth="1"/>
    <col min="14886" max="14886" width="29.375" style="170" bestFit="1" customWidth="1"/>
    <col min="14887" max="14887" width="21.625" style="170" bestFit="1" customWidth="1"/>
    <col min="14888" max="14890" width="9" style="170" customWidth="1"/>
    <col min="14891" max="14891" width="26.375" style="170" bestFit="1" customWidth="1"/>
    <col min="14892" max="14892" width="18.25" style="170" bestFit="1" customWidth="1"/>
    <col min="14893" max="14893" width="22.875" style="170" bestFit="1" customWidth="1"/>
    <col min="14894" max="15070" width="8.75" style="170"/>
    <col min="15071" max="15071" width="4.875" style="170" bestFit="1" customWidth="1"/>
    <col min="15072" max="15072" width="60.625" style="170" customWidth="1"/>
    <col min="15073" max="15073" width="11.25" style="170" customWidth="1"/>
    <col min="15074" max="15080" width="12" style="170" customWidth="1"/>
    <col min="15081" max="15081" width="9" style="170" customWidth="1"/>
    <col min="15082" max="15082" width="12" style="170" customWidth="1"/>
    <col min="15083" max="15083" width="39.25" style="170" bestFit="1" customWidth="1"/>
    <col min="15084" max="15084" width="9.375" style="170" customWidth="1"/>
    <col min="15085" max="15085" width="12.875" style="170" customWidth="1"/>
    <col min="15086" max="15086" width="9.375" style="170" customWidth="1"/>
    <col min="15087" max="15087" width="10.125" style="170" customWidth="1"/>
    <col min="15088" max="15088" width="9.375" style="170" customWidth="1"/>
    <col min="15089" max="15089" width="8.25" style="170" customWidth="1"/>
    <col min="15090" max="15090" width="9.875" style="170" customWidth="1"/>
    <col min="15091" max="15091" width="10.625" style="170" bestFit="1" customWidth="1"/>
    <col min="15092" max="15092" width="28.125" style="170" bestFit="1" customWidth="1"/>
    <col min="15093" max="15093" width="39.25" style="170" bestFit="1" customWidth="1"/>
    <col min="15094" max="15094" width="9.375" style="170" customWidth="1"/>
    <col min="15095" max="15095" width="12.875" style="170" customWidth="1"/>
    <col min="15096" max="15096" width="9.375" style="170" customWidth="1"/>
    <col min="15097" max="15097" width="10.125" style="170" customWidth="1"/>
    <col min="15098" max="15098" width="9.375" style="170" customWidth="1"/>
    <col min="15099" max="15099" width="8.25" style="170" customWidth="1"/>
    <col min="15100" max="15100" width="9.875" style="170" customWidth="1"/>
    <col min="15101" max="15101" width="10.625" style="170" customWidth="1"/>
    <col min="15102" max="15102" width="20.75" style="170" customWidth="1"/>
    <col min="15103" max="15103" width="28.125" style="170" customWidth="1"/>
    <col min="15104" max="15104" width="39.25" style="170" bestFit="1" customWidth="1"/>
    <col min="15105" max="15105" width="10.375" style="170" customWidth="1"/>
    <col min="15106" max="15106" width="8.25" style="170" customWidth="1"/>
    <col min="15107" max="15107" width="7.75" style="170" customWidth="1"/>
    <col min="15108" max="15108" width="17.375" style="170" customWidth="1"/>
    <col min="15109" max="15109" width="14.75" style="170" customWidth="1"/>
    <col min="15110" max="15110" width="19.375" style="170" customWidth="1"/>
    <col min="15111" max="15111" width="18.25" style="170" bestFit="1" customWidth="1"/>
    <col min="15112" max="15112" width="14" style="170" customWidth="1"/>
    <col min="15113" max="15113" width="7.75" style="170" customWidth="1"/>
    <col min="15114" max="15114" width="22.875" style="170" customWidth="1"/>
    <col min="15115" max="15115" width="14" style="170" customWidth="1"/>
    <col min="15116" max="15116" width="18.625" style="170" customWidth="1"/>
    <col min="15117" max="15117" width="17.25" style="170" customWidth="1"/>
    <col min="15118" max="15118" width="7.75" style="170" customWidth="1"/>
    <col min="15119" max="15119" width="22.125" style="170" bestFit="1" customWidth="1"/>
    <col min="15120" max="15120" width="10.375" style="170" customWidth="1"/>
    <col min="15121" max="15122" width="9" style="170" customWidth="1"/>
    <col min="15123" max="15123" width="15" style="170" customWidth="1"/>
    <col min="15124" max="15124" width="30.125" style="170" bestFit="1" customWidth="1"/>
    <col min="15125" max="15125" width="34.875" style="170" customWidth="1"/>
    <col min="15126" max="15126" width="19.375" style="170" bestFit="1" customWidth="1"/>
    <col min="15127" max="15127" width="11.75" style="170" customWidth="1"/>
    <col min="15128" max="15128" width="7.75" style="170" customWidth="1"/>
    <col min="15129" max="15129" width="24.125" style="170" customWidth="1"/>
    <col min="15130" max="15130" width="27.375" style="170" customWidth="1"/>
    <col min="15131" max="15131" width="7.625" style="170" customWidth="1"/>
    <col min="15132" max="15132" width="32.25" style="170" customWidth="1"/>
    <col min="15133" max="15133" width="24.375" style="170" customWidth="1"/>
    <col min="15134" max="15134" width="9" style="170" customWidth="1"/>
    <col min="15135" max="15135" width="11" style="170" customWidth="1"/>
    <col min="15136" max="15136" width="9" style="170" customWidth="1"/>
    <col min="15137" max="15137" width="29.125" style="170" bestFit="1" customWidth="1"/>
    <col min="15138" max="15138" width="24.875" style="170" bestFit="1" customWidth="1"/>
    <col min="15139" max="15141" width="9" style="170" customWidth="1"/>
    <col min="15142" max="15142" width="29.375" style="170" bestFit="1" customWidth="1"/>
    <col min="15143" max="15143" width="21.625" style="170" bestFit="1" customWidth="1"/>
    <col min="15144" max="15146" width="9" style="170" customWidth="1"/>
    <col min="15147" max="15147" width="26.375" style="170" bestFit="1" customWidth="1"/>
    <col min="15148" max="15148" width="18.25" style="170" bestFit="1" customWidth="1"/>
    <col min="15149" max="15149" width="22.875" style="170" bestFit="1" customWidth="1"/>
    <col min="15150" max="15326" width="8.75" style="170"/>
    <col min="15327" max="15327" width="4.875" style="170" bestFit="1" customWidth="1"/>
    <col min="15328" max="15328" width="60.625" style="170" customWidth="1"/>
    <col min="15329" max="15329" width="11.25" style="170" customWidth="1"/>
    <col min="15330" max="15336" width="12" style="170" customWidth="1"/>
    <col min="15337" max="15337" width="9" style="170" customWidth="1"/>
    <col min="15338" max="15338" width="12" style="170" customWidth="1"/>
    <col min="15339" max="15339" width="39.25" style="170" bestFit="1" customWidth="1"/>
    <col min="15340" max="15340" width="9.375" style="170" customWidth="1"/>
    <col min="15341" max="15341" width="12.875" style="170" customWidth="1"/>
    <col min="15342" max="15342" width="9.375" style="170" customWidth="1"/>
    <col min="15343" max="15343" width="10.125" style="170" customWidth="1"/>
    <col min="15344" max="15344" width="9.375" style="170" customWidth="1"/>
    <col min="15345" max="15345" width="8.25" style="170" customWidth="1"/>
    <col min="15346" max="15346" width="9.875" style="170" customWidth="1"/>
    <col min="15347" max="15347" width="10.625" style="170" bestFit="1" customWidth="1"/>
    <col min="15348" max="15348" width="28.125" style="170" bestFit="1" customWidth="1"/>
    <col min="15349" max="15349" width="39.25" style="170" bestFit="1" customWidth="1"/>
    <col min="15350" max="15350" width="9.375" style="170" customWidth="1"/>
    <col min="15351" max="15351" width="12.875" style="170" customWidth="1"/>
    <col min="15352" max="15352" width="9.375" style="170" customWidth="1"/>
    <col min="15353" max="15353" width="10.125" style="170" customWidth="1"/>
    <col min="15354" max="15354" width="9.375" style="170" customWidth="1"/>
    <col min="15355" max="15355" width="8.25" style="170" customWidth="1"/>
    <col min="15356" max="15356" width="9.875" style="170" customWidth="1"/>
    <col min="15357" max="15357" width="10.625" style="170" customWidth="1"/>
    <col min="15358" max="15358" width="20.75" style="170" customWidth="1"/>
    <col min="15359" max="15359" width="28.125" style="170" customWidth="1"/>
    <col min="15360" max="15360" width="39.25" style="170" bestFit="1" customWidth="1"/>
    <col min="15361" max="15361" width="10.375" style="170" customWidth="1"/>
    <col min="15362" max="15362" width="8.25" style="170" customWidth="1"/>
    <col min="15363" max="15363" width="7.75" style="170" customWidth="1"/>
    <col min="15364" max="15364" width="17.375" style="170" customWidth="1"/>
    <col min="15365" max="15365" width="14.75" style="170" customWidth="1"/>
    <col min="15366" max="15366" width="19.375" style="170" customWidth="1"/>
    <col min="15367" max="15367" width="18.25" style="170" bestFit="1" customWidth="1"/>
    <col min="15368" max="15368" width="14" style="170" customWidth="1"/>
    <col min="15369" max="15369" width="7.75" style="170" customWidth="1"/>
    <col min="15370" max="15370" width="22.875" style="170" customWidth="1"/>
    <col min="15371" max="15371" width="14" style="170" customWidth="1"/>
    <col min="15372" max="15372" width="18.625" style="170" customWidth="1"/>
    <col min="15373" max="15373" width="17.25" style="170" customWidth="1"/>
    <col min="15374" max="15374" width="7.75" style="170" customWidth="1"/>
    <col min="15375" max="15375" width="22.125" style="170" bestFit="1" customWidth="1"/>
    <col min="15376" max="15376" width="10.375" style="170" customWidth="1"/>
    <col min="15377" max="15378" width="9" style="170" customWidth="1"/>
    <col min="15379" max="15379" width="15" style="170" customWidth="1"/>
    <col min="15380" max="15380" width="30.125" style="170" bestFit="1" customWidth="1"/>
    <col min="15381" max="15381" width="34.875" style="170" customWidth="1"/>
    <col min="15382" max="15382" width="19.375" style="170" bestFit="1" customWidth="1"/>
    <col min="15383" max="15383" width="11.75" style="170" customWidth="1"/>
    <col min="15384" max="15384" width="7.75" style="170" customWidth="1"/>
    <col min="15385" max="15385" width="24.125" style="170" customWidth="1"/>
    <col min="15386" max="15386" width="27.375" style="170" customWidth="1"/>
    <col min="15387" max="15387" width="7.625" style="170" customWidth="1"/>
    <col min="15388" max="15388" width="32.25" style="170" customWidth="1"/>
    <col min="15389" max="15389" width="24.375" style="170" customWidth="1"/>
    <col min="15390" max="15390" width="9" style="170" customWidth="1"/>
    <col min="15391" max="15391" width="11" style="170" customWidth="1"/>
    <col min="15392" max="15392" width="9" style="170" customWidth="1"/>
    <col min="15393" max="15393" width="29.125" style="170" bestFit="1" customWidth="1"/>
    <col min="15394" max="15394" width="24.875" style="170" bestFit="1" customWidth="1"/>
    <col min="15395" max="15397" width="9" style="170" customWidth="1"/>
    <col min="15398" max="15398" width="29.375" style="170" bestFit="1" customWidth="1"/>
    <col min="15399" max="15399" width="21.625" style="170" bestFit="1" customWidth="1"/>
    <col min="15400" max="15402" width="9" style="170" customWidth="1"/>
    <col min="15403" max="15403" width="26.375" style="170" bestFit="1" customWidth="1"/>
    <col min="15404" max="15404" width="18.25" style="170" bestFit="1" customWidth="1"/>
    <col min="15405" max="15405" width="22.875" style="170" bestFit="1" customWidth="1"/>
    <col min="15406" max="15582" width="8.75" style="170"/>
    <col min="15583" max="15583" width="4.875" style="170" bestFit="1" customWidth="1"/>
    <col min="15584" max="15584" width="60.625" style="170" customWidth="1"/>
    <col min="15585" max="15585" width="11.25" style="170" customWidth="1"/>
    <col min="15586" max="15592" width="12" style="170" customWidth="1"/>
    <col min="15593" max="15593" width="9" style="170" customWidth="1"/>
    <col min="15594" max="15594" width="12" style="170" customWidth="1"/>
    <col min="15595" max="15595" width="39.25" style="170" bestFit="1" customWidth="1"/>
    <col min="15596" max="15596" width="9.375" style="170" customWidth="1"/>
    <col min="15597" max="15597" width="12.875" style="170" customWidth="1"/>
    <col min="15598" max="15598" width="9.375" style="170" customWidth="1"/>
    <col min="15599" max="15599" width="10.125" style="170" customWidth="1"/>
    <col min="15600" max="15600" width="9.375" style="170" customWidth="1"/>
    <col min="15601" max="15601" width="8.25" style="170" customWidth="1"/>
    <col min="15602" max="15602" width="9.875" style="170" customWidth="1"/>
    <col min="15603" max="15603" width="10.625" style="170" bestFit="1" customWidth="1"/>
    <col min="15604" max="15604" width="28.125" style="170" bestFit="1" customWidth="1"/>
    <col min="15605" max="15605" width="39.25" style="170" bestFit="1" customWidth="1"/>
    <col min="15606" max="15606" width="9.375" style="170" customWidth="1"/>
    <col min="15607" max="15607" width="12.875" style="170" customWidth="1"/>
    <col min="15608" max="15608" width="9.375" style="170" customWidth="1"/>
    <col min="15609" max="15609" width="10.125" style="170" customWidth="1"/>
    <col min="15610" max="15610" width="9.375" style="170" customWidth="1"/>
    <col min="15611" max="15611" width="8.25" style="170" customWidth="1"/>
    <col min="15612" max="15612" width="9.875" style="170" customWidth="1"/>
    <col min="15613" max="15613" width="10.625" style="170" customWidth="1"/>
    <col min="15614" max="15614" width="20.75" style="170" customWidth="1"/>
    <col min="15615" max="15615" width="28.125" style="170" customWidth="1"/>
    <col min="15616" max="15616" width="39.25" style="170" bestFit="1" customWidth="1"/>
    <col min="15617" max="15617" width="10.375" style="170" customWidth="1"/>
    <col min="15618" max="15618" width="8.25" style="170" customWidth="1"/>
    <col min="15619" max="15619" width="7.75" style="170" customWidth="1"/>
    <col min="15620" max="15620" width="17.375" style="170" customWidth="1"/>
    <col min="15621" max="15621" width="14.75" style="170" customWidth="1"/>
    <col min="15622" max="15622" width="19.375" style="170" customWidth="1"/>
    <col min="15623" max="15623" width="18.25" style="170" bestFit="1" customWidth="1"/>
    <col min="15624" max="15624" width="14" style="170" customWidth="1"/>
    <col min="15625" max="15625" width="7.75" style="170" customWidth="1"/>
    <col min="15626" max="15626" width="22.875" style="170" customWidth="1"/>
    <col min="15627" max="15627" width="14" style="170" customWidth="1"/>
    <col min="15628" max="15628" width="18.625" style="170" customWidth="1"/>
    <col min="15629" max="15629" width="17.25" style="170" customWidth="1"/>
    <col min="15630" max="15630" width="7.75" style="170" customWidth="1"/>
    <col min="15631" max="15631" width="22.125" style="170" bestFit="1" customWidth="1"/>
    <col min="15632" max="15632" width="10.375" style="170" customWidth="1"/>
    <col min="15633" max="15634" width="9" style="170" customWidth="1"/>
    <col min="15635" max="15635" width="15" style="170" customWidth="1"/>
    <col min="15636" max="15636" width="30.125" style="170" bestFit="1" customWidth="1"/>
    <col min="15637" max="15637" width="34.875" style="170" customWidth="1"/>
    <col min="15638" max="15638" width="19.375" style="170" bestFit="1" customWidth="1"/>
    <col min="15639" max="15639" width="11.75" style="170" customWidth="1"/>
    <col min="15640" max="15640" width="7.75" style="170" customWidth="1"/>
    <col min="15641" max="15641" width="24.125" style="170" customWidth="1"/>
    <col min="15642" max="15642" width="27.375" style="170" customWidth="1"/>
    <col min="15643" max="15643" width="7.625" style="170" customWidth="1"/>
    <col min="15644" max="15644" width="32.25" style="170" customWidth="1"/>
    <col min="15645" max="15645" width="24.375" style="170" customWidth="1"/>
    <col min="15646" max="15646" width="9" style="170" customWidth="1"/>
    <col min="15647" max="15647" width="11" style="170" customWidth="1"/>
    <col min="15648" max="15648" width="9" style="170" customWidth="1"/>
    <col min="15649" max="15649" width="29.125" style="170" bestFit="1" customWidth="1"/>
    <col min="15650" max="15650" width="24.875" style="170" bestFit="1" customWidth="1"/>
    <col min="15651" max="15653" width="9" style="170" customWidth="1"/>
    <col min="15654" max="15654" width="29.375" style="170" bestFit="1" customWidth="1"/>
    <col min="15655" max="15655" width="21.625" style="170" bestFit="1" customWidth="1"/>
    <col min="15656" max="15658" width="9" style="170" customWidth="1"/>
    <col min="15659" max="15659" width="26.375" style="170" bestFit="1" customWidth="1"/>
    <col min="15660" max="15660" width="18.25" style="170" bestFit="1" customWidth="1"/>
    <col min="15661" max="15661" width="22.875" style="170" bestFit="1" customWidth="1"/>
    <col min="15662" max="15838" width="8.75" style="170"/>
    <col min="15839" max="15839" width="4.875" style="170" bestFit="1" customWidth="1"/>
    <col min="15840" max="15840" width="60.625" style="170" customWidth="1"/>
    <col min="15841" max="15841" width="11.25" style="170" customWidth="1"/>
    <col min="15842" max="15848" width="12" style="170" customWidth="1"/>
    <col min="15849" max="15849" width="9" style="170" customWidth="1"/>
    <col min="15850" max="15850" width="12" style="170" customWidth="1"/>
    <col min="15851" max="15851" width="39.25" style="170" bestFit="1" customWidth="1"/>
    <col min="15852" max="15852" width="9.375" style="170" customWidth="1"/>
    <col min="15853" max="15853" width="12.875" style="170" customWidth="1"/>
    <col min="15854" max="15854" width="9.375" style="170" customWidth="1"/>
    <col min="15855" max="15855" width="10.125" style="170" customWidth="1"/>
    <col min="15856" max="15856" width="9.375" style="170" customWidth="1"/>
    <col min="15857" max="15857" width="8.25" style="170" customWidth="1"/>
    <col min="15858" max="15858" width="9.875" style="170" customWidth="1"/>
    <col min="15859" max="15859" width="10.625" style="170" bestFit="1" customWidth="1"/>
    <col min="15860" max="15860" width="28.125" style="170" bestFit="1" customWidth="1"/>
    <col min="15861" max="15861" width="39.25" style="170" bestFit="1" customWidth="1"/>
    <col min="15862" max="15862" width="9.375" style="170" customWidth="1"/>
    <col min="15863" max="15863" width="12.875" style="170" customWidth="1"/>
    <col min="15864" max="15864" width="9.375" style="170" customWidth="1"/>
    <col min="15865" max="15865" width="10.125" style="170" customWidth="1"/>
    <col min="15866" max="15866" width="9.375" style="170" customWidth="1"/>
    <col min="15867" max="15867" width="8.25" style="170" customWidth="1"/>
    <col min="15868" max="15868" width="9.875" style="170" customWidth="1"/>
    <col min="15869" max="15869" width="10.625" style="170" customWidth="1"/>
    <col min="15870" max="15870" width="20.75" style="170" customWidth="1"/>
    <col min="15871" max="15871" width="28.125" style="170" customWidth="1"/>
    <col min="15872" max="15872" width="39.25" style="170" bestFit="1" customWidth="1"/>
    <col min="15873" max="15873" width="10.375" style="170" customWidth="1"/>
    <col min="15874" max="15874" width="8.25" style="170" customWidth="1"/>
    <col min="15875" max="15875" width="7.75" style="170" customWidth="1"/>
    <col min="15876" max="15876" width="17.375" style="170" customWidth="1"/>
    <col min="15877" max="15877" width="14.75" style="170" customWidth="1"/>
    <col min="15878" max="15878" width="19.375" style="170" customWidth="1"/>
    <col min="15879" max="15879" width="18.25" style="170" bestFit="1" customWidth="1"/>
    <col min="15880" max="15880" width="14" style="170" customWidth="1"/>
    <col min="15881" max="15881" width="7.75" style="170" customWidth="1"/>
    <col min="15882" max="15882" width="22.875" style="170" customWidth="1"/>
    <col min="15883" max="15883" width="14" style="170" customWidth="1"/>
    <col min="15884" max="15884" width="18.625" style="170" customWidth="1"/>
    <col min="15885" max="15885" width="17.25" style="170" customWidth="1"/>
    <col min="15886" max="15886" width="7.75" style="170" customWidth="1"/>
    <col min="15887" max="15887" width="22.125" style="170" bestFit="1" customWidth="1"/>
    <col min="15888" max="15888" width="10.375" style="170" customWidth="1"/>
    <col min="15889" max="15890" width="9" style="170" customWidth="1"/>
    <col min="15891" max="15891" width="15" style="170" customWidth="1"/>
    <col min="15892" max="15892" width="30.125" style="170" bestFit="1" customWidth="1"/>
    <col min="15893" max="15893" width="34.875" style="170" customWidth="1"/>
    <col min="15894" max="15894" width="19.375" style="170" bestFit="1" customWidth="1"/>
    <col min="15895" max="15895" width="11.75" style="170" customWidth="1"/>
    <col min="15896" max="15896" width="7.75" style="170" customWidth="1"/>
    <col min="15897" max="15897" width="24.125" style="170" customWidth="1"/>
    <col min="15898" max="15898" width="27.375" style="170" customWidth="1"/>
    <col min="15899" max="15899" width="7.625" style="170" customWidth="1"/>
    <col min="15900" max="15900" width="32.25" style="170" customWidth="1"/>
    <col min="15901" max="15901" width="24.375" style="170" customWidth="1"/>
    <col min="15902" max="15902" width="9" style="170" customWidth="1"/>
    <col min="15903" max="15903" width="11" style="170" customWidth="1"/>
    <col min="15904" max="15904" width="9" style="170" customWidth="1"/>
    <col min="15905" max="15905" width="29.125" style="170" bestFit="1" customWidth="1"/>
    <col min="15906" max="15906" width="24.875" style="170" bestFit="1" customWidth="1"/>
    <col min="15907" max="15909" width="9" style="170" customWidth="1"/>
    <col min="15910" max="15910" width="29.375" style="170" bestFit="1" customWidth="1"/>
    <col min="15911" max="15911" width="21.625" style="170" bestFit="1" customWidth="1"/>
    <col min="15912" max="15914" width="9" style="170" customWidth="1"/>
    <col min="15915" max="15915" width="26.375" style="170" bestFit="1" customWidth="1"/>
    <col min="15916" max="15916" width="18.25" style="170" bestFit="1" customWidth="1"/>
    <col min="15917" max="15917" width="22.875" style="170" bestFit="1" customWidth="1"/>
    <col min="15918" max="16094" width="8.75" style="170"/>
    <col min="16095" max="16095" width="4.875" style="170" bestFit="1" customWidth="1"/>
    <col min="16096" max="16096" width="60.625" style="170" customWidth="1"/>
    <col min="16097" max="16097" width="11.25" style="170" customWidth="1"/>
    <col min="16098" max="16104" width="12" style="170" customWidth="1"/>
    <col min="16105" max="16105" width="9" style="170" customWidth="1"/>
    <col min="16106" max="16106" width="12" style="170" customWidth="1"/>
    <col min="16107" max="16107" width="39.25" style="170" bestFit="1" customWidth="1"/>
    <col min="16108" max="16108" width="9.375" style="170" customWidth="1"/>
    <col min="16109" max="16109" width="12.875" style="170" customWidth="1"/>
    <col min="16110" max="16110" width="9.375" style="170" customWidth="1"/>
    <col min="16111" max="16111" width="10.125" style="170" customWidth="1"/>
    <col min="16112" max="16112" width="9.375" style="170" customWidth="1"/>
    <col min="16113" max="16113" width="8.25" style="170" customWidth="1"/>
    <col min="16114" max="16114" width="9.875" style="170" customWidth="1"/>
    <col min="16115" max="16115" width="10.625" style="170" bestFit="1" customWidth="1"/>
    <col min="16116" max="16116" width="28.125" style="170" bestFit="1" customWidth="1"/>
    <col min="16117" max="16117" width="39.25" style="170" bestFit="1" customWidth="1"/>
    <col min="16118" max="16118" width="9.375" style="170" customWidth="1"/>
    <col min="16119" max="16119" width="12.875" style="170" customWidth="1"/>
    <col min="16120" max="16120" width="9.375" style="170" customWidth="1"/>
    <col min="16121" max="16121" width="10.125" style="170" customWidth="1"/>
    <col min="16122" max="16122" width="9.375" style="170" customWidth="1"/>
    <col min="16123" max="16123" width="8.25" style="170" customWidth="1"/>
    <col min="16124" max="16124" width="9.875" style="170" customWidth="1"/>
    <col min="16125" max="16125" width="10.625" style="170" customWidth="1"/>
    <col min="16126" max="16126" width="20.75" style="170" customWidth="1"/>
    <col min="16127" max="16127" width="28.125" style="170" customWidth="1"/>
    <col min="16128" max="16128" width="39.25" style="170" bestFit="1" customWidth="1"/>
    <col min="16129" max="16129" width="10.375" style="170" customWidth="1"/>
    <col min="16130" max="16130" width="8.25" style="170" customWidth="1"/>
    <col min="16131" max="16131" width="7.75" style="170" customWidth="1"/>
    <col min="16132" max="16132" width="17.375" style="170" customWidth="1"/>
    <col min="16133" max="16133" width="14.75" style="170" customWidth="1"/>
    <col min="16134" max="16134" width="19.375" style="170" customWidth="1"/>
    <col min="16135" max="16135" width="18.25" style="170" bestFit="1" customWidth="1"/>
    <col min="16136" max="16136" width="14" style="170" customWidth="1"/>
    <col min="16137" max="16137" width="7.75" style="170" customWidth="1"/>
    <col min="16138" max="16138" width="22.875" style="170" customWidth="1"/>
    <col min="16139" max="16139" width="14" style="170" customWidth="1"/>
    <col min="16140" max="16140" width="18.625" style="170" customWidth="1"/>
    <col min="16141" max="16141" width="17.25" style="170" customWidth="1"/>
    <col min="16142" max="16142" width="7.75" style="170" customWidth="1"/>
    <col min="16143" max="16143" width="22.125" style="170" bestFit="1" customWidth="1"/>
    <col min="16144" max="16144" width="10.375" style="170" customWidth="1"/>
    <col min="16145" max="16146" width="9" style="170" customWidth="1"/>
    <col min="16147" max="16147" width="15" style="170" customWidth="1"/>
    <col min="16148" max="16148" width="30.125" style="170" bestFit="1" customWidth="1"/>
    <col min="16149" max="16149" width="34.875" style="170" customWidth="1"/>
    <col min="16150" max="16150" width="19.375" style="170" bestFit="1" customWidth="1"/>
    <col min="16151" max="16151" width="11.75" style="170" customWidth="1"/>
    <col min="16152" max="16152" width="7.75" style="170" customWidth="1"/>
    <col min="16153" max="16153" width="24.125" style="170" customWidth="1"/>
    <col min="16154" max="16154" width="27.375" style="170" customWidth="1"/>
    <col min="16155" max="16155" width="7.625" style="170" customWidth="1"/>
    <col min="16156" max="16156" width="32.25" style="170" customWidth="1"/>
    <col min="16157" max="16157" width="24.375" style="170" customWidth="1"/>
    <col min="16158" max="16158" width="9" style="170" customWidth="1"/>
    <col min="16159" max="16159" width="11" style="170" customWidth="1"/>
    <col min="16160" max="16160" width="9" style="170" customWidth="1"/>
    <col min="16161" max="16161" width="29.125" style="170" bestFit="1" customWidth="1"/>
    <col min="16162" max="16162" width="24.875" style="170" bestFit="1" customWidth="1"/>
    <col min="16163" max="16165" width="9" style="170" customWidth="1"/>
    <col min="16166" max="16166" width="29.375" style="170" bestFit="1" customWidth="1"/>
    <col min="16167" max="16167" width="21.625" style="170" bestFit="1" customWidth="1"/>
    <col min="16168" max="16170" width="9" style="170" customWidth="1"/>
    <col min="16171" max="16171" width="26.375" style="170" bestFit="1" customWidth="1"/>
    <col min="16172" max="16172" width="18.25" style="170" bestFit="1" customWidth="1"/>
    <col min="16173" max="16173" width="22.875" style="170" bestFit="1" customWidth="1"/>
    <col min="16174" max="16384" width="8.75" style="170"/>
  </cols>
  <sheetData>
    <row r="1" spans="1:26" ht="18.75" x14ac:dyDescent="0.25">
      <c r="A1" s="498" t="s">
        <v>963</v>
      </c>
      <c r="B1" s="498"/>
      <c r="C1" s="498"/>
      <c r="D1" s="498"/>
      <c r="E1" s="498"/>
      <c r="F1" s="498"/>
      <c r="G1" s="498"/>
      <c r="H1" s="498"/>
      <c r="I1" s="498"/>
      <c r="J1" s="498"/>
      <c r="K1" s="498"/>
      <c r="L1" s="498"/>
      <c r="M1" s="498"/>
      <c r="N1" s="498"/>
      <c r="O1" s="498"/>
      <c r="P1" s="498"/>
      <c r="Q1" s="498"/>
      <c r="R1" s="498"/>
      <c r="S1" s="498"/>
      <c r="T1" s="498"/>
      <c r="U1" s="498"/>
      <c r="V1" s="498"/>
      <c r="W1" s="498"/>
      <c r="X1" s="498"/>
      <c r="Y1" s="498"/>
    </row>
    <row r="2" spans="1:26" ht="50.1" customHeight="1" x14ac:dyDescent="0.25">
      <c r="A2" s="499" t="s">
        <v>996</v>
      </c>
      <c r="B2" s="499"/>
      <c r="C2" s="499"/>
      <c r="D2" s="499"/>
      <c r="E2" s="499"/>
      <c r="F2" s="499"/>
      <c r="G2" s="499"/>
      <c r="H2" s="499"/>
      <c r="I2" s="499"/>
      <c r="J2" s="499"/>
      <c r="K2" s="499"/>
      <c r="L2" s="499"/>
      <c r="M2" s="499"/>
      <c r="N2" s="499"/>
      <c r="O2" s="499"/>
      <c r="P2" s="499"/>
      <c r="Q2" s="499"/>
      <c r="R2" s="499"/>
      <c r="S2" s="499"/>
      <c r="T2" s="499"/>
      <c r="U2" s="499"/>
      <c r="V2" s="499"/>
      <c r="W2" s="499"/>
      <c r="X2" s="499"/>
      <c r="Y2" s="499"/>
    </row>
    <row r="3" spans="1:26" ht="22.5" hidden="1" customHeight="1" x14ac:dyDescent="0.25">
      <c r="A3" s="500" t="str">
        <f>'[3]PL4_chi tiet'!A3:U3</f>
        <v>(Kèm theo Tờ trình số  210/TTr-UBND ngày  01/12/2023 của Ủy ban nhân dân Tỉnh)</v>
      </c>
      <c r="B3" s="500"/>
      <c r="C3" s="500"/>
      <c r="D3" s="500"/>
      <c r="E3" s="500"/>
      <c r="F3" s="500"/>
      <c r="G3" s="500"/>
      <c r="H3" s="500"/>
      <c r="I3" s="500"/>
      <c r="J3" s="500"/>
      <c r="K3" s="500"/>
      <c r="L3" s="500"/>
      <c r="M3" s="500"/>
      <c r="N3" s="500"/>
      <c r="O3" s="500"/>
      <c r="P3" s="500"/>
      <c r="Q3" s="500"/>
      <c r="R3" s="500"/>
      <c r="S3" s="500"/>
      <c r="T3" s="500"/>
      <c r="U3" s="500"/>
      <c r="V3" s="500"/>
      <c r="W3" s="500"/>
      <c r="X3" s="500"/>
      <c r="Y3" s="500"/>
    </row>
    <row r="4" spans="1:26" ht="22.5" customHeight="1" x14ac:dyDescent="0.25">
      <c r="A4" s="500" t="str">
        <f>'PL1-TH'!A5:F5</f>
        <v>(Kèm theo Nghị quyết số 48/NQ-HĐND ngày 09 tháng 12 năm 2023 của HĐND tỉnh Đồng Tháp)</v>
      </c>
      <c r="B4" s="500"/>
      <c r="C4" s="500"/>
      <c r="D4" s="500"/>
      <c r="E4" s="500"/>
      <c r="F4" s="500"/>
      <c r="G4" s="500"/>
      <c r="H4" s="500"/>
      <c r="I4" s="500"/>
      <c r="J4" s="500"/>
      <c r="K4" s="500"/>
      <c r="L4" s="500"/>
      <c r="M4" s="500"/>
      <c r="N4" s="500"/>
      <c r="O4" s="500"/>
      <c r="P4" s="500"/>
      <c r="Q4" s="500"/>
      <c r="R4" s="500"/>
      <c r="S4" s="500"/>
      <c r="T4" s="500"/>
      <c r="U4" s="500"/>
      <c r="V4" s="500"/>
      <c r="W4" s="500"/>
      <c r="X4" s="500"/>
      <c r="Y4" s="500"/>
    </row>
    <row r="5" spans="1:26" x14ac:dyDescent="0.25">
      <c r="B5" s="173"/>
      <c r="D5" s="173"/>
      <c r="E5" s="174"/>
      <c r="F5" s="173"/>
      <c r="G5" s="174"/>
      <c r="H5" s="174"/>
      <c r="I5" s="173"/>
      <c r="J5" s="175"/>
      <c r="K5" s="176"/>
      <c r="L5" s="176"/>
      <c r="M5" s="177"/>
      <c r="N5" s="177"/>
    </row>
    <row r="6" spans="1:26" x14ac:dyDescent="0.25">
      <c r="N6" s="501" t="s">
        <v>710</v>
      </c>
      <c r="O6" s="501"/>
      <c r="P6" s="501"/>
      <c r="Q6" s="501"/>
      <c r="R6" s="501"/>
      <c r="S6" s="501"/>
      <c r="T6" s="501"/>
      <c r="U6" s="501"/>
      <c r="V6" s="501"/>
      <c r="W6" s="501"/>
      <c r="X6" s="501"/>
      <c r="Y6" s="501"/>
    </row>
    <row r="7" spans="1:26" ht="29.1" customHeight="1" x14ac:dyDescent="0.25">
      <c r="A7" s="495" t="s">
        <v>711</v>
      </c>
      <c r="B7" s="495" t="s">
        <v>1</v>
      </c>
      <c r="C7" s="496" t="s">
        <v>712</v>
      </c>
      <c r="D7" s="495" t="s">
        <v>448</v>
      </c>
      <c r="E7" s="496" t="s">
        <v>713</v>
      </c>
      <c r="F7" s="495" t="s">
        <v>29</v>
      </c>
      <c r="G7" s="496" t="s">
        <v>714</v>
      </c>
      <c r="H7" s="496" t="s">
        <v>715</v>
      </c>
      <c r="I7" s="497" t="s">
        <v>716</v>
      </c>
      <c r="J7" s="495" t="s">
        <v>717</v>
      </c>
      <c r="K7" s="494" t="s">
        <v>718</v>
      </c>
      <c r="L7" s="494"/>
      <c r="M7" s="494"/>
      <c r="N7" s="494"/>
      <c r="O7" s="494" t="s">
        <v>719</v>
      </c>
      <c r="P7" s="494" t="s">
        <v>720</v>
      </c>
      <c r="Q7" s="494" t="s">
        <v>721</v>
      </c>
      <c r="R7" s="502" t="s">
        <v>20</v>
      </c>
      <c r="S7" s="502"/>
      <c r="T7" s="502"/>
      <c r="U7" s="502"/>
      <c r="V7" s="502"/>
      <c r="W7" s="502"/>
      <c r="X7" s="493" t="s">
        <v>722</v>
      </c>
      <c r="Y7" s="495" t="s">
        <v>18</v>
      </c>
    </row>
    <row r="8" spans="1:26" ht="29.1" customHeight="1" x14ac:dyDescent="0.25">
      <c r="A8" s="495"/>
      <c r="B8" s="495"/>
      <c r="C8" s="496"/>
      <c r="D8" s="495"/>
      <c r="E8" s="496"/>
      <c r="F8" s="495"/>
      <c r="G8" s="496"/>
      <c r="H8" s="496"/>
      <c r="I8" s="497"/>
      <c r="J8" s="495"/>
      <c r="K8" s="494" t="s">
        <v>19</v>
      </c>
      <c r="L8" s="494" t="s">
        <v>20</v>
      </c>
      <c r="M8" s="494"/>
      <c r="N8" s="494"/>
      <c r="O8" s="494"/>
      <c r="P8" s="494"/>
      <c r="Q8" s="494"/>
      <c r="R8" s="493" t="s">
        <v>723</v>
      </c>
      <c r="S8" s="493"/>
      <c r="T8" s="493" t="s">
        <v>724</v>
      </c>
      <c r="U8" s="493"/>
      <c r="V8" s="493" t="s">
        <v>725</v>
      </c>
      <c r="W8" s="493"/>
      <c r="X8" s="493"/>
      <c r="Y8" s="495"/>
    </row>
    <row r="9" spans="1:26" ht="53.1" customHeight="1" x14ac:dyDescent="0.25">
      <c r="A9" s="495"/>
      <c r="B9" s="495"/>
      <c r="C9" s="496"/>
      <c r="D9" s="495"/>
      <c r="E9" s="496"/>
      <c r="F9" s="495"/>
      <c r="G9" s="496"/>
      <c r="H9" s="496"/>
      <c r="I9" s="497"/>
      <c r="J9" s="495"/>
      <c r="K9" s="494"/>
      <c r="L9" s="291" t="s">
        <v>726</v>
      </c>
      <c r="M9" s="290" t="s">
        <v>727</v>
      </c>
      <c r="N9" s="290" t="s">
        <v>728</v>
      </c>
      <c r="O9" s="494"/>
      <c r="P9" s="494"/>
      <c r="Q9" s="494"/>
      <c r="R9" s="290" t="s">
        <v>729</v>
      </c>
      <c r="S9" s="290" t="s">
        <v>730</v>
      </c>
      <c r="T9" s="290" t="s">
        <v>729</v>
      </c>
      <c r="U9" s="290" t="s">
        <v>730</v>
      </c>
      <c r="V9" s="290" t="s">
        <v>729</v>
      </c>
      <c r="W9" s="290" t="s">
        <v>730</v>
      </c>
      <c r="X9" s="493"/>
      <c r="Y9" s="495"/>
    </row>
    <row r="10" spans="1:26" s="190" customFormat="1" x14ac:dyDescent="0.25">
      <c r="A10" s="186">
        <v>1</v>
      </c>
      <c r="B10" s="186">
        <v>2</v>
      </c>
      <c r="C10" s="187"/>
      <c r="D10" s="186">
        <v>3</v>
      </c>
      <c r="E10" s="187"/>
      <c r="F10" s="186">
        <v>4</v>
      </c>
      <c r="G10" s="187">
        <v>5</v>
      </c>
      <c r="H10" s="187">
        <v>6</v>
      </c>
      <c r="I10" s="188">
        <v>5</v>
      </c>
      <c r="J10" s="189">
        <v>6</v>
      </c>
      <c r="K10" s="186">
        <v>7</v>
      </c>
      <c r="L10" s="186">
        <v>8</v>
      </c>
      <c r="M10" s="187"/>
      <c r="N10" s="187"/>
      <c r="O10" s="189">
        <v>9</v>
      </c>
      <c r="P10" s="189">
        <v>10</v>
      </c>
      <c r="Q10" s="186">
        <v>11</v>
      </c>
      <c r="R10" s="186"/>
      <c r="S10" s="186"/>
      <c r="T10" s="186"/>
      <c r="U10" s="186"/>
      <c r="V10" s="186"/>
      <c r="W10" s="186"/>
      <c r="X10" s="186"/>
      <c r="Y10" s="186">
        <v>12</v>
      </c>
    </row>
    <row r="11" spans="1:26" s="191" customFormat="1" ht="23.45" hidden="1" customHeight="1" x14ac:dyDescent="0.25">
      <c r="A11" s="301"/>
      <c r="B11" s="301"/>
      <c r="C11" s="302"/>
      <c r="D11" s="301"/>
      <c r="E11" s="302"/>
      <c r="F11" s="301"/>
      <c r="G11" s="302"/>
      <c r="H11" s="302"/>
      <c r="I11" s="303"/>
      <c r="J11" s="189"/>
      <c r="K11" s="304" t="e">
        <f>K15+K16+#REF!+K17+K19+#REF!+#REF!+#REF!+#REF!+#REF!+K27+#REF!+#REF!+#REF!+#REF!+K29+#REF!+K31+K32+#REF!+K34+K35+#REF!+#REF!+#REF!+#REF!+#REF!+#REF!+#REF!+#REF!+#REF!+#REF!+#REF!+#REF!+#REF!+K39+#REF!+#REF!+#REF!+K41+#REF!+#REF!+#REF!+K43+#REF!+#REF!+K45+#REF!+#REF!+#REF!+K47+#REF!+#REF!+#REF!+#REF!+#REF!+#REF!+K49+#REF!+#REF!+K51+#REF!+K55+#REF!+#REF!+#REF!+#REF!+K57+#REF!+#REF!+K61+K62+K63+K64+#REF!+K67+K68+K71+K72+#REF!+K73+K74+K75+#REF!+#REF!+#REF!+K80+K81+K83+K84+#REF!+K86+#REF!+K88+#REF!+#REF!+#REF!+#REF!+K96+#REF!+K103+K105+#REF!+#REF!+K107+#REF!+#REF!+#REF!+#REF!+#REF!+#REF!+#REF!+#REF!+#REF!+#REF!+#REF!+#REF!+#REF!+#REF!+#REF!+#REF!+#REF!+#REF!+#REF!+#REF!+#REF!+#REF!+#REF!+#REF!+#REF!+#REF!+#REF!+#REF!+#REF!+#REF!+#REF!+#REF!+#REF!+#REF!+#REF!+#REF!+#REF!+#REF!+#REF!+#REF!+#REF!+#REF!+#REF!+#REF!+#REF!+#REF!+#REF!+#REF!+#REF!+#REF!+#REF!+#REF!+#REF!+#REF!+#REF!+#REF!+#REF!+#REF!+#REF!+#REF!+#REF!+#REF!+#REF!+#REF!+#REF!+#REF!+#REF!+#REF!+K111</f>
        <v>#REF!</v>
      </c>
      <c r="L11" s="304" t="e">
        <f>L15+L16+#REF!+L17+L19+#REF!+#REF!+#REF!+#REF!+#REF!+L27+#REF!+#REF!+#REF!+#REF!+L29+#REF!+L31+L32+#REF!+L34+L35+#REF!+#REF!+#REF!+#REF!+#REF!+#REF!+#REF!+#REF!+#REF!+#REF!+#REF!+#REF!+#REF!+L39+#REF!+#REF!+#REF!+L41+#REF!+#REF!+#REF!+L43+#REF!+#REF!+L45+#REF!+#REF!+#REF!+L47+#REF!+#REF!+#REF!+#REF!+#REF!+#REF!+L49+#REF!+#REF!+L51+#REF!+L55+#REF!+#REF!+#REF!+#REF!+L57+#REF!+#REF!+L61+L62+L63+L64+#REF!+L67+L68+L71+L72+#REF!+L73+L74+L75+#REF!+#REF!+#REF!+L80+L81+L83+L84+#REF!+L86+#REF!+L88+#REF!+#REF!+#REF!+#REF!+L96+#REF!+L103+L105+#REF!+#REF!+L107+#REF!+#REF!+#REF!+#REF!+#REF!+#REF!+#REF!+#REF!+#REF!+#REF!+#REF!+#REF!+#REF!+#REF!+#REF!+#REF!+#REF!+#REF!+#REF!+#REF!+#REF!+#REF!+#REF!+#REF!+#REF!+#REF!+#REF!+#REF!+#REF!+#REF!+#REF!+#REF!+#REF!+#REF!+#REF!+#REF!+#REF!+#REF!+#REF!+#REF!+#REF!+#REF!+#REF!+#REF!+#REF!+#REF!+#REF!+#REF!+#REF!+#REF!+#REF!+#REF!+#REF!+#REF!+#REF!+#REF!+#REF!+#REF!+#REF!+#REF!+#REF!+#REF!+#REF!+#REF!+#REF!+#REF!+#REF!+#REF!+L111</f>
        <v>#REF!</v>
      </c>
      <c r="M11" s="305" t="e">
        <f>M15+M16+#REF!+M17+M19+#REF!+#REF!+#REF!+#REF!+#REF!+M27+#REF!+#REF!+#REF!+#REF!+M29+#REF!+M31+M32+#REF!+M34+M35+#REF!+#REF!+#REF!+#REF!+#REF!+#REF!+#REF!+#REF!+#REF!+#REF!+#REF!+#REF!+#REF!+M39+#REF!+#REF!+#REF!+M41+#REF!+#REF!+#REF!+M43+#REF!+#REF!+M45+#REF!+#REF!+#REF!+M47+#REF!+#REF!+#REF!+#REF!+#REF!+#REF!+M49+#REF!+#REF!+M51+#REF!+M55+#REF!+#REF!+#REF!+#REF!+M57+#REF!+#REF!+M61+M62+M63+M64+#REF!+M67+M68+M71+M72+#REF!+M73+M74+M75+#REF!+#REF!+#REF!+M80+M81+M83+M84+#REF!+M86+#REF!+M88+#REF!+#REF!+#REF!+#REF!+M96+#REF!+M103+M105+#REF!+#REF!+M107+#REF!+#REF!+#REF!+#REF!+#REF!+#REF!+#REF!+#REF!+#REF!+#REF!+#REF!+#REF!+#REF!+#REF!+#REF!+#REF!+#REF!+#REF!+#REF!+#REF!+#REF!+#REF!+#REF!+#REF!+#REF!+#REF!+#REF!+#REF!+#REF!+#REF!+#REF!+#REF!+#REF!+#REF!+#REF!+#REF!+#REF!+#REF!+#REF!+#REF!+#REF!+#REF!+#REF!+#REF!+#REF!+#REF!+#REF!+#REF!+#REF!+#REF!+#REF!+#REF!+#REF!+#REF!+#REF!+#REF!+#REF!+#REF!+#REF!+#REF!+#REF!+#REF!+#REF!+#REF!+#REF!+#REF!+#REF!+#REF!+M111</f>
        <v>#REF!</v>
      </c>
      <c r="N11" s="305" t="e">
        <f>N15+N16+#REF!+N17+N19+#REF!+#REF!+#REF!+#REF!+#REF!+N27+#REF!+#REF!+#REF!+#REF!+N29+#REF!+N31+N32+#REF!+N34+N35+#REF!+#REF!+#REF!+#REF!+#REF!+#REF!+#REF!+#REF!+#REF!+#REF!+#REF!+#REF!+#REF!+N39+#REF!+#REF!+#REF!+N41+#REF!+#REF!+#REF!+N43+#REF!+#REF!+N45+#REF!+#REF!+#REF!+N47+#REF!+#REF!+#REF!+#REF!+#REF!+#REF!+N49+#REF!+#REF!+N51+#REF!+N55+#REF!+#REF!+#REF!+#REF!+N57+#REF!+#REF!+N61+N62+N63+N64+#REF!+N67+N68+N71+N72+#REF!+N73+N74+N75+#REF!+#REF!+#REF!+N80+N81+N83+N84+#REF!+N86+#REF!+N88+#REF!+#REF!+#REF!+#REF!+N96+#REF!+N103+N105+#REF!+#REF!+N107+#REF!+#REF!+#REF!+#REF!+#REF!+#REF!+#REF!+#REF!+#REF!+#REF!+#REF!+#REF!+#REF!+#REF!+#REF!+#REF!+#REF!+#REF!+#REF!+#REF!+#REF!+#REF!+#REF!+#REF!+#REF!+#REF!+#REF!+#REF!+#REF!+#REF!+#REF!+#REF!+#REF!+#REF!+#REF!+#REF!+#REF!+#REF!+#REF!+#REF!+#REF!+#REF!+#REF!+#REF!+#REF!+#REF!+#REF!+#REF!+#REF!+#REF!+#REF!+#REF!+#REF!+#REF!+#REF!+#REF!+#REF!+#REF!+#REF!+#REF!+#REF!+#REF!+#REF!+#REF!+#REF!+#REF!+#REF!+#REF!+N111</f>
        <v>#REF!</v>
      </c>
      <c r="O11" s="306"/>
      <c r="P11" s="306"/>
      <c r="Q11" s="307"/>
      <c r="R11" s="305"/>
      <c r="S11" s="305"/>
      <c r="T11" s="305"/>
      <c r="U11" s="305"/>
      <c r="V11" s="305"/>
      <c r="W11" s="305"/>
      <c r="X11" s="305">
        <v>155700</v>
      </c>
      <c r="Y11" s="308"/>
    </row>
    <row r="12" spans="1:26" s="193" customFormat="1" ht="28.5" customHeight="1" x14ac:dyDescent="0.2">
      <c r="A12" s="309"/>
      <c r="B12" s="310" t="s">
        <v>2</v>
      </c>
      <c r="C12" s="311" t="e">
        <f>C13+C24</f>
        <v>#REF!</v>
      </c>
      <c r="D12" s="310"/>
      <c r="E12" s="312"/>
      <c r="F12" s="310"/>
      <c r="G12" s="313"/>
      <c r="H12" s="313"/>
      <c r="I12" s="314"/>
      <c r="J12" s="315"/>
      <c r="K12" s="314">
        <f>K13+K24+K113</f>
        <v>453540.35200000001</v>
      </c>
      <c r="L12" s="314">
        <f>L13+L24+L113</f>
        <v>249097</v>
      </c>
      <c r="M12" s="313">
        <f>M13+M24+M113</f>
        <v>115070.35200000001</v>
      </c>
      <c r="N12" s="313">
        <f>N13+N24+N113</f>
        <v>89373</v>
      </c>
      <c r="O12" s="314">
        <f t="shared" ref="O12:P12" si="0">O13+O24+O113</f>
        <v>249097</v>
      </c>
      <c r="P12" s="314">
        <f t="shared" si="0"/>
        <v>56531</v>
      </c>
      <c r="Q12" s="314">
        <f>Q13+Q24+Q113</f>
        <v>127705</v>
      </c>
      <c r="R12" s="313" t="e">
        <f t="shared" ref="R12:X12" si="1">R13+R24</f>
        <v>#REF!</v>
      </c>
      <c r="S12" s="313" t="e">
        <f t="shared" si="1"/>
        <v>#REF!</v>
      </c>
      <c r="T12" s="313" t="e">
        <f t="shared" si="1"/>
        <v>#REF!</v>
      </c>
      <c r="U12" s="313" t="e">
        <f t="shared" si="1"/>
        <v>#REF!</v>
      </c>
      <c r="V12" s="313" t="e">
        <f t="shared" si="1"/>
        <v>#REF!</v>
      </c>
      <c r="W12" s="313" t="e">
        <f t="shared" si="1"/>
        <v>#REF!</v>
      </c>
      <c r="X12" s="313" t="e">
        <f t="shared" si="1"/>
        <v>#REF!</v>
      </c>
      <c r="Y12" s="314"/>
      <c r="Z12" s="192"/>
    </row>
    <row r="13" spans="1:26" s="194" customFormat="1" ht="36" customHeight="1" x14ac:dyDescent="0.2">
      <c r="A13" s="316" t="s">
        <v>4</v>
      </c>
      <c r="B13" s="317" t="s">
        <v>731</v>
      </c>
      <c r="C13" s="318" t="e">
        <f>C14+C18</f>
        <v>#REF!</v>
      </c>
      <c r="D13" s="319"/>
      <c r="E13" s="320"/>
      <c r="F13" s="319"/>
      <c r="G13" s="321"/>
      <c r="H13" s="321"/>
      <c r="I13" s="322"/>
      <c r="J13" s="323"/>
      <c r="K13" s="324">
        <f>K14+K18</f>
        <v>253618.6</v>
      </c>
      <c r="L13" s="324">
        <f>L14+L18</f>
        <v>129723</v>
      </c>
      <c r="M13" s="325">
        <f>M14+M18</f>
        <v>75049.600000000006</v>
      </c>
      <c r="N13" s="325">
        <f>N14+N18</f>
        <v>48846</v>
      </c>
      <c r="O13" s="324">
        <f t="shared" ref="O13:X13" si="2">O14+O18</f>
        <v>129723</v>
      </c>
      <c r="P13" s="324">
        <f t="shared" si="2"/>
        <v>20630</v>
      </c>
      <c r="Q13" s="324">
        <f t="shared" si="2"/>
        <v>50232</v>
      </c>
      <c r="R13" s="325" t="e">
        <f t="shared" si="2"/>
        <v>#REF!</v>
      </c>
      <c r="S13" s="325" t="e">
        <f t="shared" si="2"/>
        <v>#REF!</v>
      </c>
      <c r="T13" s="325" t="e">
        <f t="shared" si="2"/>
        <v>#REF!</v>
      </c>
      <c r="U13" s="325" t="e">
        <f t="shared" si="2"/>
        <v>#REF!</v>
      </c>
      <c r="V13" s="325" t="e">
        <f t="shared" si="2"/>
        <v>#REF!</v>
      </c>
      <c r="W13" s="325" t="e">
        <f t="shared" si="2"/>
        <v>#REF!</v>
      </c>
      <c r="X13" s="325" t="e">
        <f t="shared" si="2"/>
        <v>#REF!</v>
      </c>
      <c r="Y13" s="326"/>
    </row>
    <row r="14" spans="1:26" s="195" customFormat="1" ht="24.6" customHeight="1" x14ac:dyDescent="0.2">
      <c r="A14" s="327">
        <v>1</v>
      </c>
      <c r="B14" s="328" t="s">
        <v>732</v>
      </c>
      <c r="C14" s="329" t="e">
        <f>C15+C16+#REF!+C17</f>
        <v>#REF!</v>
      </c>
      <c r="D14" s="330"/>
      <c r="E14" s="331"/>
      <c r="F14" s="330"/>
      <c r="G14" s="332"/>
      <c r="H14" s="333"/>
      <c r="I14" s="334"/>
      <c r="J14" s="335"/>
      <c r="K14" s="336">
        <f>K15+K16+K17</f>
        <v>95059</v>
      </c>
      <c r="L14" s="336">
        <f t="shared" ref="L14:Q14" si="3">L15+L16+L17</f>
        <v>50059</v>
      </c>
      <c r="M14" s="336">
        <f t="shared" si="3"/>
        <v>34000</v>
      </c>
      <c r="N14" s="336">
        <f t="shared" si="3"/>
        <v>11000</v>
      </c>
      <c r="O14" s="336">
        <f t="shared" si="3"/>
        <v>50059</v>
      </c>
      <c r="P14" s="336">
        <f t="shared" si="3"/>
        <v>10800</v>
      </c>
      <c r="Q14" s="336">
        <f t="shared" si="3"/>
        <v>24427</v>
      </c>
      <c r="R14" s="333" t="e">
        <f>R15+R16+#REF!+R17</f>
        <v>#REF!</v>
      </c>
      <c r="S14" s="333" t="e">
        <f>S15+S16+#REF!+S17</f>
        <v>#REF!</v>
      </c>
      <c r="T14" s="333" t="e">
        <f>T15+T16+#REF!+T17</f>
        <v>#REF!</v>
      </c>
      <c r="U14" s="333" t="e">
        <f>U15+U16+#REF!+U17</f>
        <v>#REF!</v>
      </c>
      <c r="V14" s="333" t="e">
        <f>V15+V16+#REF!+V17</f>
        <v>#REF!</v>
      </c>
      <c r="W14" s="333" t="e">
        <f>W15+W16+#REF!+W17</f>
        <v>#REF!</v>
      </c>
      <c r="X14" s="333" t="e">
        <f>X15+X16+#REF!+X17</f>
        <v>#REF!</v>
      </c>
      <c r="Y14" s="337"/>
    </row>
    <row r="15" spans="1:26" s="196" customFormat="1" ht="47.25" x14ac:dyDescent="0.2">
      <c r="A15" s="338"/>
      <c r="B15" s="339" t="s">
        <v>733</v>
      </c>
      <c r="C15" s="340">
        <v>1</v>
      </c>
      <c r="D15" s="341" t="s">
        <v>734</v>
      </c>
      <c r="E15" s="342" t="s">
        <v>735</v>
      </c>
      <c r="F15" s="341" t="s">
        <v>297</v>
      </c>
      <c r="G15" s="342">
        <v>7973398</v>
      </c>
      <c r="H15" s="342" t="s">
        <v>736</v>
      </c>
      <c r="I15" s="341" t="s">
        <v>75</v>
      </c>
      <c r="J15" s="343" t="s">
        <v>737</v>
      </c>
      <c r="K15" s="344">
        <f t="shared" ref="K15:K22" si="4">L15+M15+N15</f>
        <v>29859</v>
      </c>
      <c r="L15" s="344">
        <v>15859</v>
      </c>
      <c r="M15" s="345">
        <v>10000</v>
      </c>
      <c r="N15" s="345">
        <v>4000</v>
      </c>
      <c r="O15" s="346">
        <v>15859</v>
      </c>
      <c r="P15" s="346">
        <v>3600</v>
      </c>
      <c r="Q15" s="347">
        <v>8000</v>
      </c>
      <c r="R15" s="348"/>
      <c r="S15" s="348"/>
      <c r="T15" s="348">
        <v>1</v>
      </c>
      <c r="U15" s="348" t="e">
        <f>T15*#REF!</f>
        <v>#REF!</v>
      </c>
      <c r="V15" s="348"/>
      <c r="W15" s="348"/>
      <c r="X15" s="348" t="e">
        <f>#REF!-#REF!</f>
        <v>#REF!</v>
      </c>
      <c r="Y15" s="338"/>
    </row>
    <row r="16" spans="1:26" s="197" customFormat="1" ht="47.25" x14ac:dyDescent="0.2">
      <c r="A16" s="349"/>
      <c r="B16" s="339" t="s">
        <v>738</v>
      </c>
      <c r="C16" s="340">
        <v>1</v>
      </c>
      <c r="D16" s="341" t="s">
        <v>739</v>
      </c>
      <c r="E16" s="342" t="s">
        <v>735</v>
      </c>
      <c r="F16" s="341" t="s">
        <v>297</v>
      </c>
      <c r="G16" s="342">
        <v>7973397</v>
      </c>
      <c r="H16" s="342" t="s">
        <v>740</v>
      </c>
      <c r="I16" s="341" t="s">
        <v>103</v>
      </c>
      <c r="J16" s="343" t="s">
        <v>741</v>
      </c>
      <c r="K16" s="344">
        <f t="shared" si="4"/>
        <v>29200</v>
      </c>
      <c r="L16" s="346">
        <v>16200</v>
      </c>
      <c r="M16" s="345">
        <v>10000</v>
      </c>
      <c r="N16" s="345">
        <v>3000</v>
      </c>
      <c r="O16" s="346">
        <v>16200</v>
      </c>
      <c r="P16" s="346">
        <v>3600</v>
      </c>
      <c r="Q16" s="347">
        <f>8000-573</f>
        <v>7427</v>
      </c>
      <c r="R16" s="348"/>
      <c r="S16" s="348"/>
      <c r="T16" s="348">
        <v>1</v>
      </c>
      <c r="U16" s="348" t="e">
        <f>T16*#REF!</f>
        <v>#REF!</v>
      </c>
      <c r="V16" s="348"/>
      <c r="W16" s="348"/>
      <c r="X16" s="348" t="e">
        <f>#REF!-#REF!</f>
        <v>#REF!</v>
      </c>
      <c r="Y16" s="338"/>
    </row>
    <row r="17" spans="1:25" s="197" customFormat="1" ht="47.25" x14ac:dyDescent="0.2">
      <c r="A17" s="338"/>
      <c r="B17" s="339" t="s">
        <v>742</v>
      </c>
      <c r="C17" s="340">
        <v>1</v>
      </c>
      <c r="D17" s="341" t="s">
        <v>743</v>
      </c>
      <c r="E17" s="342" t="s">
        <v>735</v>
      </c>
      <c r="F17" s="341" t="s">
        <v>297</v>
      </c>
      <c r="G17" s="342">
        <v>7973396</v>
      </c>
      <c r="H17" s="342" t="s">
        <v>744</v>
      </c>
      <c r="I17" s="341" t="s">
        <v>103</v>
      </c>
      <c r="J17" s="343" t="s">
        <v>745</v>
      </c>
      <c r="K17" s="344">
        <f t="shared" si="4"/>
        <v>36000</v>
      </c>
      <c r="L17" s="346">
        <v>18000</v>
      </c>
      <c r="M17" s="345">
        <v>14000</v>
      </c>
      <c r="N17" s="345">
        <v>4000</v>
      </c>
      <c r="O17" s="346">
        <v>18000</v>
      </c>
      <c r="P17" s="346">
        <v>3600</v>
      </c>
      <c r="Q17" s="347">
        <v>9000</v>
      </c>
      <c r="R17" s="348"/>
      <c r="S17" s="348"/>
      <c r="T17" s="348">
        <v>1</v>
      </c>
      <c r="U17" s="348" t="e">
        <f>T17*#REF!</f>
        <v>#REF!</v>
      </c>
      <c r="V17" s="348"/>
      <c r="W17" s="348"/>
      <c r="X17" s="348" t="e">
        <f>#REF!-#REF!</f>
        <v>#REF!</v>
      </c>
      <c r="Y17" s="350"/>
    </row>
    <row r="18" spans="1:25" s="198" customFormat="1" ht="19.5" customHeight="1" x14ac:dyDescent="0.2">
      <c r="A18" s="351">
        <v>2</v>
      </c>
      <c r="B18" s="352" t="s">
        <v>746</v>
      </c>
      <c r="C18" s="353">
        <f t="shared" ref="C18" si="5">C19</f>
        <v>1</v>
      </c>
      <c r="D18" s="354"/>
      <c r="E18" s="355"/>
      <c r="F18" s="354"/>
      <c r="G18" s="356"/>
      <c r="H18" s="357"/>
      <c r="I18" s="358"/>
      <c r="J18" s="358"/>
      <c r="K18" s="358">
        <f>K19+K20+K21+K22</f>
        <v>158559.6</v>
      </c>
      <c r="L18" s="358">
        <f t="shared" ref="L18:Q18" si="6">L19+L20+L21+L22</f>
        <v>79664</v>
      </c>
      <c r="M18" s="358">
        <f t="shared" si="6"/>
        <v>41049.599999999999</v>
      </c>
      <c r="N18" s="358">
        <f t="shared" si="6"/>
        <v>37846</v>
      </c>
      <c r="O18" s="358">
        <f t="shared" si="6"/>
        <v>79664</v>
      </c>
      <c r="P18" s="358">
        <f t="shared" si="6"/>
        <v>9830</v>
      </c>
      <c r="Q18" s="358">
        <f t="shared" si="6"/>
        <v>25805</v>
      </c>
      <c r="R18" s="357">
        <f t="shared" ref="R18:X18" si="7">R19</f>
        <v>0</v>
      </c>
      <c r="S18" s="357">
        <f t="shared" si="7"/>
        <v>0</v>
      </c>
      <c r="T18" s="357">
        <f t="shared" si="7"/>
        <v>1</v>
      </c>
      <c r="U18" s="357" t="e">
        <f t="shared" si="7"/>
        <v>#REF!</v>
      </c>
      <c r="V18" s="357">
        <f t="shared" si="7"/>
        <v>0</v>
      </c>
      <c r="W18" s="357">
        <f t="shared" si="7"/>
        <v>0</v>
      </c>
      <c r="X18" s="357" t="e">
        <f t="shared" si="7"/>
        <v>#REF!</v>
      </c>
      <c r="Y18" s="351"/>
    </row>
    <row r="19" spans="1:25" s="197" customFormat="1" ht="110.25" x14ac:dyDescent="0.2">
      <c r="A19" s="338"/>
      <c r="B19" s="339" t="s">
        <v>747</v>
      </c>
      <c r="C19" s="340">
        <v>1</v>
      </c>
      <c r="D19" s="341" t="s">
        <v>748</v>
      </c>
      <c r="E19" s="342" t="s">
        <v>749</v>
      </c>
      <c r="F19" s="341" t="s">
        <v>507</v>
      </c>
      <c r="G19" s="359"/>
      <c r="H19" s="342" t="s">
        <v>750</v>
      </c>
      <c r="I19" s="341" t="s">
        <v>75</v>
      </c>
      <c r="J19" s="343" t="s">
        <v>751</v>
      </c>
      <c r="K19" s="344">
        <f t="shared" si="4"/>
        <v>106949.6</v>
      </c>
      <c r="L19" s="344">
        <v>53859</v>
      </c>
      <c r="M19" s="345">
        <v>36949.599999999999</v>
      </c>
      <c r="N19" s="345">
        <v>16141</v>
      </c>
      <c r="O19" s="346">
        <v>53859</v>
      </c>
      <c r="P19" s="346">
        <v>9830</v>
      </c>
      <c r="Q19" s="360">
        <v>10000</v>
      </c>
      <c r="R19" s="348"/>
      <c r="S19" s="348"/>
      <c r="T19" s="348">
        <v>1</v>
      </c>
      <c r="U19" s="348" t="e">
        <f>T19*#REF!</f>
        <v>#REF!</v>
      </c>
      <c r="V19" s="348"/>
      <c r="W19" s="348"/>
      <c r="X19" s="348" t="e">
        <f>#REF!-#REF!</f>
        <v>#REF!</v>
      </c>
      <c r="Y19" s="350"/>
    </row>
    <row r="20" spans="1:25" s="197" customFormat="1" ht="65.45" customHeight="1" x14ac:dyDescent="0.2">
      <c r="A20" s="338"/>
      <c r="B20" s="339" t="s">
        <v>752</v>
      </c>
      <c r="C20" s="343"/>
      <c r="D20" s="341" t="s">
        <v>753</v>
      </c>
      <c r="E20" s="341"/>
      <c r="F20" s="341" t="s">
        <v>507</v>
      </c>
      <c r="G20" s="342"/>
      <c r="H20" s="342" t="s">
        <v>754</v>
      </c>
      <c r="I20" s="341" t="s">
        <v>284</v>
      </c>
      <c r="J20" s="343" t="s">
        <v>755</v>
      </c>
      <c r="K20" s="346">
        <f t="shared" si="4"/>
        <v>40000</v>
      </c>
      <c r="L20" s="346">
        <v>20000</v>
      </c>
      <c r="M20" s="345">
        <v>3000</v>
      </c>
      <c r="N20" s="345">
        <v>17000</v>
      </c>
      <c r="O20" s="346">
        <v>20000</v>
      </c>
      <c r="P20" s="346">
        <v>0</v>
      </c>
      <c r="Q20" s="360">
        <v>10000</v>
      </c>
      <c r="R20" s="360"/>
      <c r="S20" s="360"/>
      <c r="T20" s="360"/>
      <c r="U20" s="360"/>
      <c r="V20" s="360"/>
      <c r="W20" s="360"/>
      <c r="X20" s="360"/>
      <c r="Y20" s="338"/>
    </row>
    <row r="21" spans="1:25" s="197" customFormat="1" ht="60" customHeight="1" x14ac:dyDescent="0.2">
      <c r="A21" s="338"/>
      <c r="B21" s="339" t="s">
        <v>756</v>
      </c>
      <c r="C21" s="343"/>
      <c r="D21" s="341" t="s">
        <v>757</v>
      </c>
      <c r="E21" s="341"/>
      <c r="F21" s="341" t="s">
        <v>507</v>
      </c>
      <c r="G21" s="342"/>
      <c r="H21" s="342" t="s">
        <v>758</v>
      </c>
      <c r="I21" s="341" t="s">
        <v>284</v>
      </c>
      <c r="J21" s="343" t="s">
        <v>759</v>
      </c>
      <c r="K21" s="346">
        <f t="shared" si="4"/>
        <v>5610</v>
      </c>
      <c r="L21" s="346">
        <v>2805</v>
      </c>
      <c r="M21" s="345">
        <v>500</v>
      </c>
      <c r="N21" s="345">
        <v>2305</v>
      </c>
      <c r="O21" s="346">
        <v>2805</v>
      </c>
      <c r="P21" s="346">
        <v>0</v>
      </c>
      <c r="Q21" s="346">
        <v>2805</v>
      </c>
      <c r="R21" s="360"/>
      <c r="S21" s="360"/>
      <c r="T21" s="360"/>
      <c r="U21" s="360"/>
      <c r="V21" s="360"/>
      <c r="W21" s="360"/>
      <c r="X21" s="360"/>
      <c r="Y21" s="338"/>
    </row>
    <row r="22" spans="1:25" s="197" customFormat="1" ht="58.5" customHeight="1" x14ac:dyDescent="0.2">
      <c r="A22" s="338"/>
      <c r="B22" s="339" t="s">
        <v>760</v>
      </c>
      <c r="C22" s="343"/>
      <c r="D22" s="341" t="s">
        <v>761</v>
      </c>
      <c r="E22" s="341"/>
      <c r="F22" s="341" t="s">
        <v>507</v>
      </c>
      <c r="G22" s="342"/>
      <c r="H22" s="342" t="s">
        <v>758</v>
      </c>
      <c r="I22" s="341" t="s">
        <v>284</v>
      </c>
      <c r="J22" s="343" t="s">
        <v>762</v>
      </c>
      <c r="K22" s="346">
        <f t="shared" si="4"/>
        <v>6000</v>
      </c>
      <c r="L22" s="346">
        <v>3000</v>
      </c>
      <c r="M22" s="345">
        <v>600</v>
      </c>
      <c r="N22" s="345">
        <v>2400</v>
      </c>
      <c r="O22" s="346">
        <v>3000</v>
      </c>
      <c r="P22" s="346">
        <v>0</v>
      </c>
      <c r="Q22" s="346">
        <v>3000</v>
      </c>
      <c r="R22" s="360"/>
      <c r="S22" s="360"/>
      <c r="T22" s="360"/>
      <c r="U22" s="360"/>
      <c r="V22" s="360"/>
      <c r="W22" s="360"/>
      <c r="X22" s="360"/>
      <c r="Y22" s="338"/>
    </row>
    <row r="23" spans="1:25" s="199" customFormat="1" ht="21.95" customHeight="1" x14ac:dyDescent="0.2">
      <c r="A23" s="361"/>
      <c r="B23" s="362"/>
      <c r="C23" s="363"/>
      <c r="D23" s="364"/>
      <c r="E23" s="364"/>
      <c r="F23" s="364"/>
      <c r="G23" s="342"/>
      <c r="H23" s="342"/>
      <c r="I23" s="364"/>
      <c r="J23" s="343"/>
      <c r="K23" s="365"/>
      <c r="L23" s="365"/>
      <c r="M23" s="345"/>
      <c r="N23" s="345"/>
      <c r="O23" s="346"/>
      <c r="P23" s="346"/>
      <c r="Q23" s="366"/>
      <c r="R23" s="366"/>
      <c r="S23" s="366"/>
      <c r="T23" s="366"/>
      <c r="U23" s="366"/>
      <c r="V23" s="366"/>
      <c r="W23" s="366"/>
      <c r="X23" s="366"/>
      <c r="Y23" s="361"/>
    </row>
    <row r="24" spans="1:25" s="200" customFormat="1" ht="31.5" x14ac:dyDescent="0.2">
      <c r="A24" s="292" t="s">
        <v>10</v>
      </c>
      <c r="B24" s="367" t="s">
        <v>763</v>
      </c>
      <c r="C24" s="368" t="e">
        <f>C25+C37+C53+C59+C78+C90+C101+#REF!+#REF!+C109</f>
        <v>#REF!</v>
      </c>
      <c r="D24" s="369"/>
      <c r="E24" s="370"/>
      <c r="F24" s="369"/>
      <c r="G24" s="371"/>
      <c r="H24" s="370"/>
      <c r="I24" s="372"/>
      <c r="J24" s="369"/>
      <c r="K24" s="373">
        <f>K25+K37+K53+K59+K78+K90+K101+K109</f>
        <v>168779.75200000001</v>
      </c>
      <c r="L24" s="373">
        <f t="shared" ref="L24:Q24" si="8">L25+L37+L53+L59+L78+L90+L101+L109</f>
        <v>104374</v>
      </c>
      <c r="M24" s="373">
        <f t="shared" si="8"/>
        <v>34878.752</v>
      </c>
      <c r="N24" s="373">
        <f t="shared" si="8"/>
        <v>29527</v>
      </c>
      <c r="O24" s="373">
        <f t="shared" si="8"/>
        <v>104374</v>
      </c>
      <c r="P24" s="373">
        <f t="shared" si="8"/>
        <v>35901</v>
      </c>
      <c r="Q24" s="373">
        <f t="shared" si="8"/>
        <v>67473</v>
      </c>
      <c r="R24" s="374" t="e">
        <f>R25+R37+R53+R59+R78+R90+R101+#REF!+#REF!+R109</f>
        <v>#REF!</v>
      </c>
      <c r="S24" s="374" t="e">
        <f>S25+S37+S53+S59+S78+S90+S101+#REF!+#REF!+S109</f>
        <v>#REF!</v>
      </c>
      <c r="T24" s="374" t="e">
        <f>T25+T37+T53+T59+T78+T90+T101+#REF!+#REF!+T109</f>
        <v>#REF!</v>
      </c>
      <c r="U24" s="374" t="e">
        <f>U25+U37+U53+U59+U78+U90+U101+#REF!+#REF!+U109</f>
        <v>#REF!</v>
      </c>
      <c r="V24" s="374" t="e">
        <f>V25+V37+V53+V59+V78+V90+V101+#REF!+#REF!+V109</f>
        <v>#REF!</v>
      </c>
      <c r="W24" s="374" t="e">
        <f>W25+W37+W53+W59+W78+W90+W101+#REF!+#REF!+W109</f>
        <v>#REF!</v>
      </c>
      <c r="X24" s="374">
        <v>80260</v>
      </c>
      <c r="Y24" s="375"/>
    </row>
    <row r="25" spans="1:25" s="201" customFormat="1" ht="22.5" customHeight="1" x14ac:dyDescent="0.2">
      <c r="A25" s="292">
        <v>1</v>
      </c>
      <c r="B25" s="376" t="s">
        <v>764</v>
      </c>
      <c r="C25" s="368" t="e">
        <f>#REF!+C26+C28+C30+C33+#REF!+#REF!+#REF!</f>
        <v>#REF!</v>
      </c>
      <c r="D25" s="369"/>
      <c r="E25" s="370"/>
      <c r="F25" s="369"/>
      <c r="G25" s="371"/>
      <c r="H25" s="370"/>
      <c r="I25" s="372"/>
      <c r="J25" s="369"/>
      <c r="K25" s="373">
        <f>K26+K28+K30+K33</f>
        <v>23307</v>
      </c>
      <c r="L25" s="373">
        <f t="shared" ref="L25:Q25" si="9">L26+L28+L30+L33</f>
        <v>7871</v>
      </c>
      <c r="M25" s="373">
        <f t="shared" si="9"/>
        <v>14505</v>
      </c>
      <c r="N25" s="373">
        <f t="shared" si="9"/>
        <v>931</v>
      </c>
      <c r="O25" s="373">
        <f t="shared" si="9"/>
        <v>7871</v>
      </c>
      <c r="P25" s="373">
        <f t="shared" si="9"/>
        <v>0</v>
      </c>
      <c r="Q25" s="373">
        <f t="shared" si="9"/>
        <v>7871</v>
      </c>
      <c r="R25" s="374" t="e">
        <f>#REF!+R26+R28+R30+R33+#REF!+#REF!+#REF!</f>
        <v>#REF!</v>
      </c>
      <c r="S25" s="374" t="e">
        <f>#REF!+S26+S28+S30+S33+#REF!+#REF!+#REF!</f>
        <v>#REF!</v>
      </c>
      <c r="T25" s="374" t="e">
        <f>#REF!+T26+T28+T30+T33+#REF!+#REF!+#REF!</f>
        <v>#REF!</v>
      </c>
      <c r="U25" s="374" t="e">
        <f>#REF!+U26+U28+U30+U33+#REF!+#REF!+#REF!</f>
        <v>#REF!</v>
      </c>
      <c r="V25" s="374" t="e">
        <f>#REF!+V26+V28+V30+V33+#REF!+#REF!+#REF!</f>
        <v>#REF!</v>
      </c>
      <c r="W25" s="374" t="e">
        <f>#REF!+W26+W28+W30+W33+#REF!+#REF!+#REF!</f>
        <v>#REF!</v>
      </c>
      <c r="X25" s="374" t="e">
        <f>#REF!+X26+X28+X30+X33+#REF!+#REF!+#REF!</f>
        <v>#REF!</v>
      </c>
      <c r="Y25" s="377"/>
    </row>
    <row r="26" spans="1:25" s="201" customFormat="1" ht="25.5" customHeight="1" x14ac:dyDescent="0.2">
      <c r="A26" s="378" t="s">
        <v>681</v>
      </c>
      <c r="B26" s="379" t="s">
        <v>765</v>
      </c>
      <c r="C26" s="380" t="e">
        <f>#REF!+#REF!+C27+#REF!+#REF!</f>
        <v>#REF!</v>
      </c>
      <c r="D26" s="381"/>
      <c r="E26" s="382"/>
      <c r="F26" s="381"/>
      <c r="G26" s="383"/>
      <c r="H26" s="382"/>
      <c r="I26" s="384"/>
      <c r="J26" s="381"/>
      <c r="K26" s="385">
        <f>K27</f>
        <v>4298</v>
      </c>
      <c r="L26" s="385">
        <f t="shared" ref="L26:Q26" si="10">L27</f>
        <v>2471</v>
      </c>
      <c r="M26" s="386">
        <f t="shared" si="10"/>
        <v>1717</v>
      </c>
      <c r="N26" s="386">
        <f t="shared" si="10"/>
        <v>110</v>
      </c>
      <c r="O26" s="385">
        <f t="shared" si="10"/>
        <v>2471</v>
      </c>
      <c r="P26" s="385">
        <f t="shared" si="10"/>
        <v>0</v>
      </c>
      <c r="Q26" s="385">
        <f t="shared" si="10"/>
        <v>2471</v>
      </c>
      <c r="R26" s="385" t="e">
        <f>#REF!+#REF!+R27+#REF!+#REF!</f>
        <v>#REF!</v>
      </c>
      <c r="S26" s="385" t="e">
        <f>#REF!+#REF!+S27+#REF!+#REF!</f>
        <v>#REF!</v>
      </c>
      <c r="T26" s="385" t="e">
        <f>#REF!+#REF!+T27+#REF!+#REF!</f>
        <v>#REF!</v>
      </c>
      <c r="U26" s="385" t="e">
        <f>#REF!+#REF!+U27+#REF!+#REF!</f>
        <v>#REF!</v>
      </c>
      <c r="V26" s="385" t="e">
        <f>#REF!+#REF!+V27+#REF!+#REF!</f>
        <v>#REF!</v>
      </c>
      <c r="W26" s="385" t="e">
        <f>#REF!+#REF!+W27+#REF!+#REF!</f>
        <v>#REF!</v>
      </c>
      <c r="X26" s="385" t="e">
        <f>#REF!+#REF!+X27+#REF!+#REF!</f>
        <v>#REF!</v>
      </c>
      <c r="Y26" s="377"/>
    </row>
    <row r="27" spans="1:25" s="201" customFormat="1" ht="60.6" customHeight="1" x14ac:dyDescent="0.2">
      <c r="A27" s="378"/>
      <c r="B27" s="387" t="s">
        <v>766</v>
      </c>
      <c r="C27" s="388">
        <v>1</v>
      </c>
      <c r="D27" s="381" t="s">
        <v>765</v>
      </c>
      <c r="E27" s="382" t="s">
        <v>767</v>
      </c>
      <c r="F27" s="381" t="s">
        <v>768</v>
      </c>
      <c r="G27" s="383"/>
      <c r="H27" s="382" t="s">
        <v>769</v>
      </c>
      <c r="I27" s="381" t="s">
        <v>103</v>
      </c>
      <c r="J27" s="381" t="s">
        <v>770</v>
      </c>
      <c r="K27" s="344">
        <f t="shared" ref="K27:K35" si="11">L27+M27+N27</f>
        <v>4298</v>
      </c>
      <c r="L27" s="344">
        <v>2471</v>
      </c>
      <c r="M27" s="345">
        <v>1717</v>
      </c>
      <c r="N27" s="345">
        <v>110</v>
      </c>
      <c r="O27" s="346">
        <v>2471</v>
      </c>
      <c r="P27" s="346">
        <v>0</v>
      </c>
      <c r="Q27" s="347">
        <v>2471</v>
      </c>
      <c r="R27" s="348"/>
      <c r="S27" s="348"/>
      <c r="T27" s="348"/>
      <c r="U27" s="348"/>
      <c r="V27" s="348"/>
      <c r="W27" s="348"/>
      <c r="X27" s="348" t="e">
        <f>#REF!-#REF!</f>
        <v>#REF!</v>
      </c>
      <c r="Y27" s="346"/>
    </row>
    <row r="28" spans="1:25" s="197" customFormat="1" ht="18.600000000000001" customHeight="1" x14ac:dyDescent="0.2">
      <c r="A28" s="378" t="s">
        <v>682</v>
      </c>
      <c r="B28" s="379" t="s">
        <v>771</v>
      </c>
      <c r="C28" s="380" t="e">
        <f>#REF!+#REF!+C29</f>
        <v>#REF!</v>
      </c>
      <c r="D28" s="381"/>
      <c r="E28" s="382"/>
      <c r="F28" s="381"/>
      <c r="G28" s="383"/>
      <c r="H28" s="382"/>
      <c r="I28" s="384"/>
      <c r="J28" s="381"/>
      <c r="K28" s="385">
        <f>K29</f>
        <v>7040</v>
      </c>
      <c r="L28" s="385">
        <f t="shared" ref="L28:Q28" si="12">L29</f>
        <v>1720</v>
      </c>
      <c r="M28" s="386">
        <f t="shared" si="12"/>
        <v>5044</v>
      </c>
      <c r="N28" s="386">
        <f t="shared" si="12"/>
        <v>276</v>
      </c>
      <c r="O28" s="385">
        <f t="shared" si="12"/>
        <v>1720</v>
      </c>
      <c r="P28" s="385">
        <f t="shared" si="12"/>
        <v>0</v>
      </c>
      <c r="Q28" s="385">
        <f t="shared" si="12"/>
        <v>1720</v>
      </c>
      <c r="R28" s="386" t="e">
        <f>#REF!+#REF!+R29</f>
        <v>#REF!</v>
      </c>
      <c r="S28" s="386" t="e">
        <f>#REF!+#REF!+S29</f>
        <v>#REF!</v>
      </c>
      <c r="T28" s="386" t="e">
        <f>#REF!+#REF!+T29</f>
        <v>#REF!</v>
      </c>
      <c r="U28" s="386" t="e">
        <f>#REF!+#REF!+U29</f>
        <v>#REF!</v>
      </c>
      <c r="V28" s="386" t="e">
        <f>#REF!+#REF!+V29</f>
        <v>#REF!</v>
      </c>
      <c r="W28" s="386" t="e">
        <f>#REF!+#REF!+W29</f>
        <v>#REF!</v>
      </c>
      <c r="X28" s="386" t="e">
        <f>#REF!+#REF!+X29</f>
        <v>#REF!</v>
      </c>
      <c r="Y28" s="338"/>
    </row>
    <row r="29" spans="1:25" s="197" customFormat="1" ht="53.45" customHeight="1" x14ac:dyDescent="0.2">
      <c r="A29" s="378"/>
      <c r="B29" s="387" t="s">
        <v>772</v>
      </c>
      <c r="C29" s="388">
        <v>1</v>
      </c>
      <c r="D29" s="387" t="s">
        <v>771</v>
      </c>
      <c r="E29" s="382" t="s">
        <v>767</v>
      </c>
      <c r="F29" s="381" t="s">
        <v>768</v>
      </c>
      <c r="G29" s="383"/>
      <c r="H29" s="382" t="s">
        <v>773</v>
      </c>
      <c r="I29" s="381" t="s">
        <v>103</v>
      </c>
      <c r="J29" s="381" t="s">
        <v>774</v>
      </c>
      <c r="K29" s="344">
        <f t="shared" si="11"/>
        <v>7040</v>
      </c>
      <c r="L29" s="344">
        <v>1720</v>
      </c>
      <c r="M29" s="345">
        <v>5044</v>
      </c>
      <c r="N29" s="345">
        <v>276</v>
      </c>
      <c r="O29" s="346">
        <v>1720</v>
      </c>
      <c r="P29" s="346">
        <v>0</v>
      </c>
      <c r="Q29" s="344">
        <v>1720</v>
      </c>
      <c r="R29" s="345"/>
      <c r="S29" s="345"/>
      <c r="T29" s="345"/>
      <c r="U29" s="345"/>
      <c r="V29" s="345"/>
      <c r="W29" s="345"/>
      <c r="X29" s="348" t="e">
        <f>#REF!-#REF!</f>
        <v>#REF!</v>
      </c>
      <c r="Y29" s="346"/>
    </row>
    <row r="30" spans="1:25" s="197" customFormat="1" ht="21.6" customHeight="1" x14ac:dyDescent="0.2">
      <c r="A30" s="378" t="s">
        <v>775</v>
      </c>
      <c r="B30" s="379" t="s">
        <v>776</v>
      </c>
      <c r="C30" s="380" t="e">
        <f>#REF!+C31+C32</f>
        <v>#REF!</v>
      </c>
      <c r="D30" s="381"/>
      <c r="E30" s="382"/>
      <c r="F30" s="381"/>
      <c r="G30" s="383"/>
      <c r="H30" s="382"/>
      <c r="I30" s="384"/>
      <c r="J30" s="381"/>
      <c r="K30" s="385">
        <f>K31+K32</f>
        <v>6687</v>
      </c>
      <c r="L30" s="385">
        <f t="shared" ref="L30:Q30" si="13">L31+L32</f>
        <v>2559</v>
      </c>
      <c r="M30" s="386">
        <f t="shared" si="13"/>
        <v>3818</v>
      </c>
      <c r="N30" s="386">
        <f t="shared" si="13"/>
        <v>310</v>
      </c>
      <c r="O30" s="385">
        <f t="shared" si="13"/>
        <v>2559</v>
      </c>
      <c r="P30" s="385">
        <f t="shared" si="13"/>
        <v>0</v>
      </c>
      <c r="Q30" s="385">
        <f t="shared" si="13"/>
        <v>2559</v>
      </c>
      <c r="R30" s="386" t="e">
        <f>#REF!+R31+R32</f>
        <v>#REF!</v>
      </c>
      <c r="S30" s="386" t="e">
        <f>#REF!+S31+S32</f>
        <v>#REF!</v>
      </c>
      <c r="T30" s="386" t="e">
        <f>#REF!+T31+T32</f>
        <v>#REF!</v>
      </c>
      <c r="U30" s="386" t="e">
        <f>#REF!+U31+U32</f>
        <v>#REF!</v>
      </c>
      <c r="V30" s="386" t="e">
        <f>#REF!+V31+V32</f>
        <v>#REF!</v>
      </c>
      <c r="W30" s="386" t="e">
        <f>#REF!+W31+W32</f>
        <v>#REF!</v>
      </c>
      <c r="X30" s="386" t="e">
        <f>#REF!+X31+X32</f>
        <v>#REF!</v>
      </c>
      <c r="Y30" s="338"/>
    </row>
    <row r="31" spans="1:25" s="197" customFormat="1" ht="63" customHeight="1" x14ac:dyDescent="0.2">
      <c r="A31" s="378"/>
      <c r="B31" s="387" t="s">
        <v>777</v>
      </c>
      <c r="C31" s="388">
        <v>1</v>
      </c>
      <c r="D31" s="389" t="s">
        <v>776</v>
      </c>
      <c r="E31" s="382" t="s">
        <v>767</v>
      </c>
      <c r="F31" s="381" t="s">
        <v>768</v>
      </c>
      <c r="G31" s="383"/>
      <c r="H31" s="382" t="s">
        <v>778</v>
      </c>
      <c r="I31" s="381" t="s">
        <v>537</v>
      </c>
      <c r="J31" s="381" t="s">
        <v>779</v>
      </c>
      <c r="K31" s="344">
        <v>2526</v>
      </c>
      <c r="L31" s="344">
        <v>1330</v>
      </c>
      <c r="M31" s="345">
        <v>1071</v>
      </c>
      <c r="N31" s="345">
        <v>125</v>
      </c>
      <c r="O31" s="346">
        <v>1330</v>
      </c>
      <c r="P31" s="346">
        <v>0</v>
      </c>
      <c r="Q31" s="347">
        <v>1330</v>
      </c>
      <c r="R31" s="348"/>
      <c r="S31" s="348"/>
      <c r="T31" s="348"/>
      <c r="U31" s="348"/>
      <c r="V31" s="348"/>
      <c r="W31" s="348"/>
      <c r="X31" s="348" t="e">
        <f>#REF!-#REF!</f>
        <v>#REF!</v>
      </c>
      <c r="Y31" s="346"/>
    </row>
    <row r="32" spans="1:25" s="197" customFormat="1" ht="63.95" customHeight="1" x14ac:dyDescent="0.2">
      <c r="A32" s="378"/>
      <c r="B32" s="387" t="s">
        <v>780</v>
      </c>
      <c r="C32" s="388">
        <v>1</v>
      </c>
      <c r="D32" s="389" t="s">
        <v>776</v>
      </c>
      <c r="E32" s="382" t="s">
        <v>767</v>
      </c>
      <c r="F32" s="381" t="s">
        <v>768</v>
      </c>
      <c r="G32" s="383"/>
      <c r="H32" s="382" t="s">
        <v>781</v>
      </c>
      <c r="I32" s="381" t="s">
        <v>103</v>
      </c>
      <c r="J32" s="381" t="s">
        <v>782</v>
      </c>
      <c r="K32" s="344">
        <v>4161</v>
      </c>
      <c r="L32" s="344">
        <v>1229</v>
      </c>
      <c r="M32" s="345">
        <v>2747</v>
      </c>
      <c r="N32" s="345">
        <v>185</v>
      </c>
      <c r="O32" s="346">
        <v>1229</v>
      </c>
      <c r="P32" s="346">
        <v>0</v>
      </c>
      <c r="Q32" s="344">
        <v>1229</v>
      </c>
      <c r="R32" s="345"/>
      <c r="S32" s="345"/>
      <c r="T32" s="345"/>
      <c r="U32" s="345"/>
      <c r="V32" s="345"/>
      <c r="W32" s="345"/>
      <c r="X32" s="348" t="e">
        <f>#REF!-#REF!</f>
        <v>#REF!</v>
      </c>
      <c r="Y32" s="346"/>
    </row>
    <row r="33" spans="1:25" s="197" customFormat="1" x14ac:dyDescent="0.2">
      <c r="A33" s="378" t="s">
        <v>783</v>
      </c>
      <c r="B33" s="379" t="s">
        <v>784</v>
      </c>
      <c r="C33" s="380" t="e">
        <f>#REF!+C34+C35</f>
        <v>#REF!</v>
      </c>
      <c r="D33" s="381"/>
      <c r="E33" s="382"/>
      <c r="F33" s="381"/>
      <c r="G33" s="383"/>
      <c r="H33" s="382"/>
      <c r="I33" s="384"/>
      <c r="J33" s="381"/>
      <c r="K33" s="385">
        <f>K34+K35</f>
        <v>5282</v>
      </c>
      <c r="L33" s="385">
        <f t="shared" ref="L33:Q33" si="14">L34+L35</f>
        <v>1121</v>
      </c>
      <c r="M33" s="386">
        <f t="shared" si="14"/>
        <v>3926</v>
      </c>
      <c r="N33" s="386">
        <f t="shared" si="14"/>
        <v>235</v>
      </c>
      <c r="O33" s="385">
        <f t="shared" si="14"/>
        <v>1121</v>
      </c>
      <c r="P33" s="385">
        <f t="shared" si="14"/>
        <v>0</v>
      </c>
      <c r="Q33" s="385">
        <f t="shared" si="14"/>
        <v>1121</v>
      </c>
      <c r="R33" s="386" t="e">
        <f>#REF!+R34+R35</f>
        <v>#REF!</v>
      </c>
      <c r="S33" s="386" t="e">
        <f>#REF!+S34+S35</f>
        <v>#REF!</v>
      </c>
      <c r="T33" s="386" t="e">
        <f>#REF!+T34+T35</f>
        <v>#REF!</v>
      </c>
      <c r="U33" s="386" t="e">
        <f>#REF!+U34+U35</f>
        <v>#REF!</v>
      </c>
      <c r="V33" s="386" t="e">
        <f>#REF!+V34+V35</f>
        <v>#REF!</v>
      </c>
      <c r="W33" s="386" t="e">
        <f>#REF!+W34+W35</f>
        <v>#REF!</v>
      </c>
      <c r="X33" s="386" t="e">
        <f>#REF!+X34+X35</f>
        <v>#REF!</v>
      </c>
      <c r="Y33" s="338"/>
    </row>
    <row r="34" spans="1:25" s="197" customFormat="1" ht="62.1" customHeight="1" x14ac:dyDescent="0.2">
      <c r="A34" s="378"/>
      <c r="B34" s="387" t="s">
        <v>785</v>
      </c>
      <c r="C34" s="388">
        <v>1</v>
      </c>
      <c r="D34" s="381" t="s">
        <v>784</v>
      </c>
      <c r="E34" s="382" t="s">
        <v>767</v>
      </c>
      <c r="F34" s="381" t="s">
        <v>768</v>
      </c>
      <c r="G34" s="383"/>
      <c r="H34" s="382" t="s">
        <v>786</v>
      </c>
      <c r="I34" s="381" t="s">
        <v>537</v>
      </c>
      <c r="J34" s="381" t="s">
        <v>787</v>
      </c>
      <c r="K34" s="344">
        <f t="shared" si="11"/>
        <v>3296</v>
      </c>
      <c r="L34" s="344">
        <v>821</v>
      </c>
      <c r="M34" s="345">
        <v>2350</v>
      </c>
      <c r="N34" s="345">
        <v>125</v>
      </c>
      <c r="O34" s="346">
        <v>821</v>
      </c>
      <c r="P34" s="346">
        <v>0</v>
      </c>
      <c r="Q34" s="344">
        <v>821</v>
      </c>
      <c r="R34" s="345"/>
      <c r="S34" s="345"/>
      <c r="T34" s="345"/>
      <c r="U34" s="345"/>
      <c r="V34" s="345"/>
      <c r="W34" s="345"/>
      <c r="X34" s="348" t="e">
        <f>#REF!-#REF!</f>
        <v>#REF!</v>
      </c>
      <c r="Y34" s="346"/>
    </row>
    <row r="35" spans="1:25" s="197" customFormat="1" ht="74.099999999999994" customHeight="1" x14ac:dyDescent="0.2">
      <c r="A35" s="378"/>
      <c r="B35" s="387" t="s">
        <v>788</v>
      </c>
      <c r="C35" s="388">
        <v>1</v>
      </c>
      <c r="D35" s="381" t="s">
        <v>784</v>
      </c>
      <c r="E35" s="382" t="s">
        <v>767</v>
      </c>
      <c r="F35" s="381" t="s">
        <v>768</v>
      </c>
      <c r="G35" s="383"/>
      <c r="H35" s="382" t="s">
        <v>789</v>
      </c>
      <c r="I35" s="381" t="s">
        <v>537</v>
      </c>
      <c r="J35" s="381" t="s">
        <v>790</v>
      </c>
      <c r="K35" s="344">
        <f t="shared" si="11"/>
        <v>1986</v>
      </c>
      <c r="L35" s="344">
        <v>300</v>
      </c>
      <c r="M35" s="345">
        <v>1576</v>
      </c>
      <c r="N35" s="345">
        <v>110</v>
      </c>
      <c r="O35" s="346">
        <v>300</v>
      </c>
      <c r="P35" s="346">
        <v>0</v>
      </c>
      <c r="Q35" s="344">
        <v>300</v>
      </c>
      <c r="R35" s="345"/>
      <c r="S35" s="345"/>
      <c r="T35" s="345"/>
      <c r="U35" s="345"/>
      <c r="V35" s="345"/>
      <c r="W35" s="345"/>
      <c r="X35" s="348" t="e">
        <f>#REF!-#REF!</f>
        <v>#REF!</v>
      </c>
      <c r="Y35" s="346"/>
    </row>
    <row r="36" spans="1:25" s="197" customFormat="1" x14ac:dyDescent="0.2">
      <c r="A36" s="292"/>
      <c r="B36" s="390"/>
      <c r="C36" s="391"/>
      <c r="D36" s="369"/>
      <c r="E36" s="370"/>
      <c r="F36" s="369"/>
      <c r="G36" s="371"/>
      <c r="H36" s="370"/>
      <c r="I36" s="372"/>
      <c r="J36" s="369"/>
      <c r="K36" s="372"/>
      <c r="L36" s="369"/>
      <c r="M36" s="371"/>
      <c r="N36" s="370"/>
      <c r="O36" s="369"/>
      <c r="P36" s="369"/>
      <c r="Q36" s="392"/>
      <c r="R36" s="370"/>
      <c r="S36" s="370"/>
      <c r="T36" s="370"/>
      <c r="U36" s="370"/>
      <c r="V36" s="370"/>
      <c r="W36" s="370"/>
      <c r="X36" s="370"/>
      <c r="Y36" s="338"/>
    </row>
    <row r="37" spans="1:25" s="197" customFormat="1" ht="21.6" customHeight="1" x14ac:dyDescent="0.2">
      <c r="A37" s="292">
        <v>2</v>
      </c>
      <c r="B37" s="367" t="s">
        <v>791</v>
      </c>
      <c r="C37" s="368" t="e">
        <f>C38+C40+C42+C44+C46+#REF!+#REF!+C48+C50</f>
        <v>#REF!</v>
      </c>
      <c r="D37" s="369"/>
      <c r="E37" s="370"/>
      <c r="F37" s="369"/>
      <c r="G37" s="371"/>
      <c r="H37" s="370"/>
      <c r="I37" s="372"/>
      <c r="J37" s="369"/>
      <c r="K37" s="373">
        <f>K38+K40+K42+K44+K46+K48+K50</f>
        <v>22323</v>
      </c>
      <c r="L37" s="373">
        <f t="shared" ref="L37:X37" si="15">L38+L40+L42+L44+L46+L48+L50</f>
        <v>20613</v>
      </c>
      <c r="M37" s="373">
        <f t="shared" si="15"/>
        <v>810</v>
      </c>
      <c r="N37" s="373">
        <f t="shared" si="15"/>
        <v>900</v>
      </c>
      <c r="O37" s="373">
        <f t="shared" si="15"/>
        <v>20613</v>
      </c>
      <c r="P37" s="373">
        <f t="shared" si="15"/>
        <v>0</v>
      </c>
      <c r="Q37" s="373">
        <f t="shared" si="15"/>
        <v>20613</v>
      </c>
      <c r="R37" s="373" t="e">
        <f t="shared" si="15"/>
        <v>#REF!</v>
      </c>
      <c r="S37" s="373" t="e">
        <f t="shared" si="15"/>
        <v>#REF!</v>
      </c>
      <c r="T37" s="373" t="e">
        <f t="shared" si="15"/>
        <v>#REF!</v>
      </c>
      <c r="U37" s="373" t="e">
        <f t="shared" si="15"/>
        <v>#REF!</v>
      </c>
      <c r="V37" s="373" t="e">
        <f t="shared" si="15"/>
        <v>#REF!</v>
      </c>
      <c r="W37" s="373" t="e">
        <f t="shared" si="15"/>
        <v>#REF!</v>
      </c>
      <c r="X37" s="373" t="e">
        <f t="shared" si="15"/>
        <v>#REF!</v>
      </c>
      <c r="Y37" s="338"/>
    </row>
    <row r="38" spans="1:25" s="197" customFormat="1" x14ac:dyDescent="0.2">
      <c r="A38" s="378" t="s">
        <v>792</v>
      </c>
      <c r="B38" s="393" t="s">
        <v>793</v>
      </c>
      <c r="C38" s="380" t="e">
        <f>#REF!+#REF!+#REF!+C39</f>
        <v>#REF!</v>
      </c>
      <c r="D38" s="381"/>
      <c r="E38" s="382"/>
      <c r="F38" s="381"/>
      <c r="G38" s="383"/>
      <c r="H38" s="382"/>
      <c r="I38" s="384"/>
      <c r="J38" s="381"/>
      <c r="K38" s="385">
        <f>K39</f>
        <v>3134</v>
      </c>
      <c r="L38" s="385">
        <f t="shared" ref="L38:X38" si="16">L39</f>
        <v>2934</v>
      </c>
      <c r="M38" s="385">
        <f t="shared" si="16"/>
        <v>100</v>
      </c>
      <c r="N38" s="385">
        <f t="shared" si="16"/>
        <v>100</v>
      </c>
      <c r="O38" s="385">
        <f t="shared" si="16"/>
        <v>2934</v>
      </c>
      <c r="P38" s="385">
        <f t="shared" si="16"/>
        <v>0</v>
      </c>
      <c r="Q38" s="385">
        <f t="shared" si="16"/>
        <v>2934</v>
      </c>
      <c r="R38" s="385">
        <f t="shared" si="16"/>
        <v>0</v>
      </c>
      <c r="S38" s="385">
        <f t="shared" si="16"/>
        <v>0</v>
      </c>
      <c r="T38" s="385">
        <f t="shared" si="16"/>
        <v>0</v>
      </c>
      <c r="U38" s="385">
        <f t="shared" si="16"/>
        <v>0</v>
      </c>
      <c r="V38" s="385">
        <f t="shared" si="16"/>
        <v>0</v>
      </c>
      <c r="W38" s="385">
        <f t="shared" si="16"/>
        <v>0</v>
      </c>
      <c r="X38" s="385" t="e">
        <f t="shared" si="16"/>
        <v>#REF!</v>
      </c>
      <c r="Y38" s="338"/>
    </row>
    <row r="39" spans="1:25" s="197" customFormat="1" ht="55.5" customHeight="1" x14ac:dyDescent="0.2">
      <c r="A39" s="378"/>
      <c r="B39" s="387" t="s">
        <v>794</v>
      </c>
      <c r="C39" s="388">
        <v>1</v>
      </c>
      <c r="D39" s="381" t="s">
        <v>793</v>
      </c>
      <c r="E39" s="382" t="s">
        <v>795</v>
      </c>
      <c r="F39" s="381" t="s">
        <v>768</v>
      </c>
      <c r="G39" s="383"/>
      <c r="H39" s="382" t="s">
        <v>796</v>
      </c>
      <c r="I39" s="384" t="s">
        <v>103</v>
      </c>
      <c r="J39" s="381" t="s">
        <v>797</v>
      </c>
      <c r="K39" s="344">
        <f t="shared" ref="K39:K51" si="17">L39+M39+N39</f>
        <v>3134</v>
      </c>
      <c r="L39" s="344">
        <v>2934</v>
      </c>
      <c r="M39" s="345">
        <v>100</v>
      </c>
      <c r="N39" s="345">
        <v>100</v>
      </c>
      <c r="O39" s="346">
        <v>2934</v>
      </c>
      <c r="P39" s="346">
        <v>0</v>
      </c>
      <c r="Q39" s="360">
        <v>2934</v>
      </c>
      <c r="R39" s="348"/>
      <c r="S39" s="348"/>
      <c r="T39" s="348"/>
      <c r="U39" s="348"/>
      <c r="V39" s="348"/>
      <c r="W39" s="348"/>
      <c r="X39" s="348" t="e">
        <f>#REF!-#REF!</f>
        <v>#REF!</v>
      </c>
      <c r="Y39" s="346"/>
    </row>
    <row r="40" spans="1:25" s="197" customFormat="1" x14ac:dyDescent="0.2">
      <c r="A40" s="378" t="s">
        <v>798</v>
      </c>
      <c r="B40" s="393" t="s">
        <v>799</v>
      </c>
      <c r="C40" s="380" t="e">
        <f>#REF!+#REF!+#REF!+C41</f>
        <v>#REF!</v>
      </c>
      <c r="D40" s="381"/>
      <c r="E40" s="382"/>
      <c r="F40" s="381"/>
      <c r="G40" s="383"/>
      <c r="H40" s="382"/>
      <c r="I40" s="384"/>
      <c r="J40" s="381"/>
      <c r="K40" s="385">
        <f>K41</f>
        <v>5661</v>
      </c>
      <c r="L40" s="385">
        <f t="shared" ref="L40:Q40" si="18">L41</f>
        <v>5461</v>
      </c>
      <c r="M40" s="386">
        <f t="shared" si="18"/>
        <v>100</v>
      </c>
      <c r="N40" s="386">
        <f t="shared" si="18"/>
        <v>100</v>
      </c>
      <c r="O40" s="385">
        <f t="shared" si="18"/>
        <v>5461</v>
      </c>
      <c r="P40" s="385"/>
      <c r="Q40" s="385">
        <f t="shared" si="18"/>
        <v>5461</v>
      </c>
      <c r="R40" s="386" t="e">
        <f>#REF!+#REF!+#REF!+R41</f>
        <v>#REF!</v>
      </c>
      <c r="S40" s="386" t="e">
        <f>#REF!+#REF!+#REF!+S41</f>
        <v>#REF!</v>
      </c>
      <c r="T40" s="386" t="e">
        <f>#REF!+#REF!+#REF!+T41</f>
        <v>#REF!</v>
      </c>
      <c r="U40" s="386" t="e">
        <f>#REF!+#REF!+#REF!+U41</f>
        <v>#REF!</v>
      </c>
      <c r="V40" s="386" t="e">
        <f>#REF!+#REF!+#REF!+V41</f>
        <v>#REF!</v>
      </c>
      <c r="W40" s="386" t="e">
        <f>#REF!+#REF!+#REF!+W41</f>
        <v>#REF!</v>
      </c>
      <c r="X40" s="386" t="e">
        <f>#REF!+#REF!+#REF!+X41</f>
        <v>#REF!</v>
      </c>
      <c r="Y40" s="338"/>
    </row>
    <row r="41" spans="1:25" s="202" customFormat="1" ht="47.1" customHeight="1" x14ac:dyDescent="0.2">
      <c r="A41" s="394"/>
      <c r="B41" s="395" t="s">
        <v>800</v>
      </c>
      <c r="C41" s="388">
        <v>1</v>
      </c>
      <c r="D41" s="396" t="s">
        <v>799</v>
      </c>
      <c r="E41" s="382" t="s">
        <v>795</v>
      </c>
      <c r="F41" s="396" t="s">
        <v>768</v>
      </c>
      <c r="G41" s="383"/>
      <c r="H41" s="382" t="s">
        <v>801</v>
      </c>
      <c r="I41" s="397" t="s">
        <v>103</v>
      </c>
      <c r="J41" s="381" t="s">
        <v>802</v>
      </c>
      <c r="K41" s="344">
        <f t="shared" si="17"/>
        <v>5661</v>
      </c>
      <c r="L41" s="344">
        <v>5461</v>
      </c>
      <c r="M41" s="345">
        <v>100</v>
      </c>
      <c r="N41" s="345">
        <v>100</v>
      </c>
      <c r="O41" s="346">
        <v>5461</v>
      </c>
      <c r="P41" s="346">
        <v>0</v>
      </c>
      <c r="Q41" s="398">
        <v>5461</v>
      </c>
      <c r="R41" s="348"/>
      <c r="S41" s="348"/>
      <c r="T41" s="348"/>
      <c r="U41" s="348"/>
      <c r="V41" s="348"/>
      <c r="W41" s="348"/>
      <c r="X41" s="348" t="e">
        <f>#REF!-#REF!</f>
        <v>#REF!</v>
      </c>
      <c r="Y41" s="399"/>
    </row>
    <row r="42" spans="1:25" s="197" customFormat="1" x14ac:dyDescent="0.2">
      <c r="A42" s="378" t="s">
        <v>803</v>
      </c>
      <c r="B42" s="393" t="s">
        <v>804</v>
      </c>
      <c r="C42" s="380" t="e">
        <f>#REF!+#REF!+#REF!+C43</f>
        <v>#REF!</v>
      </c>
      <c r="D42" s="381"/>
      <c r="E42" s="382"/>
      <c r="F42" s="381"/>
      <c r="G42" s="383"/>
      <c r="H42" s="382"/>
      <c r="I42" s="384"/>
      <c r="J42" s="381"/>
      <c r="K42" s="385">
        <f>K43</f>
        <v>4684</v>
      </c>
      <c r="L42" s="385">
        <f t="shared" ref="L42:Q42" si="19">L43</f>
        <v>4484</v>
      </c>
      <c r="M42" s="386">
        <f t="shared" si="19"/>
        <v>100</v>
      </c>
      <c r="N42" s="386">
        <f t="shared" si="19"/>
        <v>100</v>
      </c>
      <c r="O42" s="385">
        <f t="shared" si="19"/>
        <v>4484</v>
      </c>
      <c r="P42" s="385"/>
      <c r="Q42" s="385">
        <f t="shared" si="19"/>
        <v>4484</v>
      </c>
      <c r="R42" s="386" t="e">
        <f>#REF!+#REF!+#REF!+R43</f>
        <v>#REF!</v>
      </c>
      <c r="S42" s="386" t="e">
        <f>#REF!+#REF!+#REF!+S43</f>
        <v>#REF!</v>
      </c>
      <c r="T42" s="386" t="e">
        <f>#REF!+#REF!+#REF!+T43</f>
        <v>#REF!</v>
      </c>
      <c r="U42" s="386" t="e">
        <f>#REF!+#REF!+#REF!+U43</f>
        <v>#REF!</v>
      </c>
      <c r="V42" s="386" t="e">
        <f>#REF!+#REF!+#REF!+V43</f>
        <v>#REF!</v>
      </c>
      <c r="W42" s="386" t="e">
        <f>#REF!+#REF!+#REF!+W43</f>
        <v>#REF!</v>
      </c>
      <c r="X42" s="386" t="e">
        <f>#REF!+#REF!+#REF!+X43</f>
        <v>#REF!</v>
      </c>
      <c r="Y42" s="338"/>
    </row>
    <row r="43" spans="1:25" s="197" customFormat="1" ht="63" customHeight="1" x14ac:dyDescent="0.2">
      <c r="A43" s="378"/>
      <c r="B43" s="387" t="s">
        <v>805</v>
      </c>
      <c r="C43" s="388">
        <v>1</v>
      </c>
      <c r="D43" s="381" t="s">
        <v>804</v>
      </c>
      <c r="E43" s="382" t="s">
        <v>795</v>
      </c>
      <c r="F43" s="381" t="s">
        <v>768</v>
      </c>
      <c r="G43" s="383"/>
      <c r="H43" s="382" t="s">
        <v>806</v>
      </c>
      <c r="I43" s="384" t="s">
        <v>103</v>
      </c>
      <c r="J43" s="381" t="s">
        <v>807</v>
      </c>
      <c r="K43" s="344">
        <f t="shared" si="17"/>
        <v>4684</v>
      </c>
      <c r="L43" s="344">
        <v>4484</v>
      </c>
      <c r="M43" s="345">
        <v>100</v>
      </c>
      <c r="N43" s="345">
        <v>100</v>
      </c>
      <c r="O43" s="346">
        <v>4484</v>
      </c>
      <c r="P43" s="346">
        <v>0</v>
      </c>
      <c r="Q43" s="400">
        <v>4484</v>
      </c>
      <c r="R43" s="348"/>
      <c r="S43" s="348"/>
      <c r="T43" s="348"/>
      <c r="U43" s="348"/>
      <c r="V43" s="348"/>
      <c r="W43" s="348"/>
      <c r="X43" s="348" t="e">
        <f>#REF!-#REF!</f>
        <v>#REF!</v>
      </c>
      <c r="Y43" s="399"/>
    </row>
    <row r="44" spans="1:25" s="197" customFormat="1" x14ac:dyDescent="0.2">
      <c r="A44" s="378" t="s">
        <v>808</v>
      </c>
      <c r="B44" s="393" t="s">
        <v>809</v>
      </c>
      <c r="C44" s="380" t="e">
        <f>#REF!+#REF!+C45</f>
        <v>#REF!</v>
      </c>
      <c r="D44" s="381"/>
      <c r="E44" s="382"/>
      <c r="F44" s="381"/>
      <c r="G44" s="383"/>
      <c r="H44" s="382"/>
      <c r="I44" s="384"/>
      <c r="J44" s="381"/>
      <c r="K44" s="385">
        <f>K45</f>
        <v>1558</v>
      </c>
      <c r="L44" s="385">
        <f t="shared" ref="L44:Q44" si="20">L45</f>
        <v>1358</v>
      </c>
      <c r="M44" s="386">
        <f t="shared" si="20"/>
        <v>100</v>
      </c>
      <c r="N44" s="386">
        <f t="shared" si="20"/>
        <v>100</v>
      </c>
      <c r="O44" s="385">
        <f t="shared" si="20"/>
        <v>1358</v>
      </c>
      <c r="P44" s="385"/>
      <c r="Q44" s="385">
        <f t="shared" si="20"/>
        <v>1358</v>
      </c>
      <c r="R44" s="386" t="e">
        <f>#REF!+#REF!+R45</f>
        <v>#REF!</v>
      </c>
      <c r="S44" s="386" t="e">
        <f>#REF!+#REF!+S45</f>
        <v>#REF!</v>
      </c>
      <c r="T44" s="386" t="e">
        <f>#REF!+#REF!+T45</f>
        <v>#REF!</v>
      </c>
      <c r="U44" s="386" t="e">
        <f>#REF!+#REF!+U45</f>
        <v>#REF!</v>
      </c>
      <c r="V44" s="386" t="e">
        <f>#REF!+#REF!+V45</f>
        <v>#REF!</v>
      </c>
      <c r="W44" s="386" t="e">
        <f>#REF!+#REF!+W45</f>
        <v>#REF!</v>
      </c>
      <c r="X44" s="386" t="e">
        <f>#REF!+#REF!+X45</f>
        <v>#REF!</v>
      </c>
      <c r="Y44" s="338"/>
    </row>
    <row r="45" spans="1:25" s="197" customFormat="1" ht="52.5" customHeight="1" x14ac:dyDescent="0.2">
      <c r="A45" s="378"/>
      <c r="B45" s="387" t="s">
        <v>810</v>
      </c>
      <c r="C45" s="388">
        <v>1</v>
      </c>
      <c r="D45" s="381" t="s">
        <v>809</v>
      </c>
      <c r="E45" s="382" t="s">
        <v>795</v>
      </c>
      <c r="F45" s="381" t="s">
        <v>768</v>
      </c>
      <c r="G45" s="383"/>
      <c r="H45" s="382" t="s">
        <v>811</v>
      </c>
      <c r="I45" s="384" t="s">
        <v>103</v>
      </c>
      <c r="J45" s="381" t="s">
        <v>812</v>
      </c>
      <c r="K45" s="344">
        <f t="shared" si="17"/>
        <v>1558</v>
      </c>
      <c r="L45" s="344">
        <v>1358</v>
      </c>
      <c r="M45" s="345">
        <v>100</v>
      </c>
      <c r="N45" s="345">
        <v>100</v>
      </c>
      <c r="O45" s="346">
        <v>1358</v>
      </c>
      <c r="P45" s="346">
        <v>0</v>
      </c>
      <c r="Q45" s="398">
        <v>1358</v>
      </c>
      <c r="R45" s="348"/>
      <c r="S45" s="348"/>
      <c r="T45" s="348"/>
      <c r="U45" s="348"/>
      <c r="V45" s="348"/>
      <c r="W45" s="348"/>
      <c r="X45" s="348" t="e">
        <f>#REF!-#REF!</f>
        <v>#REF!</v>
      </c>
      <c r="Y45" s="399"/>
    </row>
    <row r="46" spans="1:25" s="197" customFormat="1" x14ac:dyDescent="0.2">
      <c r="A46" s="378" t="s">
        <v>813</v>
      </c>
      <c r="B46" s="393" t="s">
        <v>814</v>
      </c>
      <c r="C46" s="380" t="e">
        <f>#REF!+#REF!+#REF!+C47</f>
        <v>#REF!</v>
      </c>
      <c r="D46" s="381"/>
      <c r="E46" s="382"/>
      <c r="F46" s="381"/>
      <c r="G46" s="383"/>
      <c r="H46" s="382"/>
      <c r="I46" s="384"/>
      <c r="J46" s="381"/>
      <c r="K46" s="385">
        <f>K47</f>
        <v>3068</v>
      </c>
      <c r="L46" s="385">
        <f t="shared" ref="L46:Q46" si="21">L47</f>
        <v>2558</v>
      </c>
      <c r="M46" s="386">
        <f t="shared" si="21"/>
        <v>210</v>
      </c>
      <c r="N46" s="386">
        <f t="shared" si="21"/>
        <v>300</v>
      </c>
      <c r="O46" s="385">
        <f t="shared" si="21"/>
        <v>2558</v>
      </c>
      <c r="P46" s="385"/>
      <c r="Q46" s="385">
        <f t="shared" si="21"/>
        <v>2558</v>
      </c>
      <c r="R46" s="386" t="e">
        <f>#REF!+#REF!+#REF!+R47</f>
        <v>#REF!</v>
      </c>
      <c r="S46" s="386" t="e">
        <f>#REF!+#REF!+#REF!+S47</f>
        <v>#REF!</v>
      </c>
      <c r="T46" s="386" t="e">
        <f>#REF!+#REF!+#REF!+T47</f>
        <v>#REF!</v>
      </c>
      <c r="U46" s="386" t="e">
        <f>#REF!+#REF!+#REF!+U47</f>
        <v>#REF!</v>
      </c>
      <c r="V46" s="386" t="e">
        <f>#REF!+#REF!+#REF!+V47</f>
        <v>#REF!</v>
      </c>
      <c r="W46" s="386" t="e">
        <f>#REF!+#REF!+#REF!+W47</f>
        <v>#REF!</v>
      </c>
      <c r="X46" s="386" t="e">
        <f>#REF!+#REF!+#REF!+X47</f>
        <v>#REF!</v>
      </c>
      <c r="Y46" s="338"/>
    </row>
    <row r="47" spans="1:25" s="197" customFormat="1" ht="42.95" customHeight="1" x14ac:dyDescent="0.2">
      <c r="A47" s="378"/>
      <c r="B47" s="387" t="s">
        <v>815</v>
      </c>
      <c r="C47" s="388">
        <v>1</v>
      </c>
      <c r="D47" s="381" t="s">
        <v>814</v>
      </c>
      <c r="E47" s="382" t="s">
        <v>795</v>
      </c>
      <c r="F47" s="381" t="s">
        <v>768</v>
      </c>
      <c r="G47" s="383"/>
      <c r="H47" s="382" t="s">
        <v>816</v>
      </c>
      <c r="I47" s="384" t="s">
        <v>103</v>
      </c>
      <c r="J47" s="381" t="s">
        <v>817</v>
      </c>
      <c r="K47" s="344">
        <f t="shared" si="17"/>
        <v>3068</v>
      </c>
      <c r="L47" s="344">
        <v>2558</v>
      </c>
      <c r="M47" s="345">
        <v>210</v>
      </c>
      <c r="N47" s="345">
        <v>300</v>
      </c>
      <c r="O47" s="346">
        <v>2558</v>
      </c>
      <c r="P47" s="346">
        <v>0</v>
      </c>
      <c r="Q47" s="398">
        <v>2558</v>
      </c>
      <c r="R47" s="348"/>
      <c r="S47" s="348"/>
      <c r="T47" s="348"/>
      <c r="U47" s="348"/>
      <c r="V47" s="348"/>
      <c r="W47" s="348"/>
      <c r="X47" s="348" t="e">
        <f>#REF!-#REF!</f>
        <v>#REF!</v>
      </c>
      <c r="Y47" s="338"/>
    </row>
    <row r="48" spans="1:25" s="197" customFormat="1" x14ac:dyDescent="0.2">
      <c r="A48" s="378" t="s">
        <v>818</v>
      </c>
      <c r="B48" s="393" t="s">
        <v>819</v>
      </c>
      <c r="C48" s="380" t="e">
        <f>#REF!+#REF!+C49</f>
        <v>#REF!</v>
      </c>
      <c r="D48" s="381"/>
      <c r="E48" s="382"/>
      <c r="F48" s="381"/>
      <c r="G48" s="383"/>
      <c r="H48" s="382"/>
      <c r="I48" s="384"/>
      <c r="J48" s="381"/>
      <c r="K48" s="385">
        <f>K49</f>
        <v>2378</v>
      </c>
      <c r="L48" s="385">
        <f t="shared" ref="L48:Q48" si="22">L49</f>
        <v>2178</v>
      </c>
      <c r="M48" s="386">
        <f t="shared" si="22"/>
        <v>100</v>
      </c>
      <c r="N48" s="386">
        <f t="shared" si="22"/>
        <v>100</v>
      </c>
      <c r="O48" s="385">
        <f t="shared" si="22"/>
        <v>2178</v>
      </c>
      <c r="P48" s="385"/>
      <c r="Q48" s="385">
        <f t="shared" si="22"/>
        <v>2178</v>
      </c>
      <c r="R48" s="386" t="e">
        <f>#REF!+#REF!+R49</f>
        <v>#REF!</v>
      </c>
      <c r="S48" s="386" t="e">
        <f>#REF!+#REF!+S49</f>
        <v>#REF!</v>
      </c>
      <c r="T48" s="386" t="e">
        <f>#REF!+#REF!+T49</f>
        <v>#REF!</v>
      </c>
      <c r="U48" s="386" t="e">
        <f>#REF!+#REF!+U49</f>
        <v>#REF!</v>
      </c>
      <c r="V48" s="386" t="e">
        <f>#REF!+#REF!+V49</f>
        <v>#REF!</v>
      </c>
      <c r="W48" s="386" t="e">
        <f>#REF!+#REF!+W49</f>
        <v>#REF!</v>
      </c>
      <c r="X48" s="386" t="e">
        <f>#REF!+#REF!+X49</f>
        <v>#REF!</v>
      </c>
      <c r="Y48" s="338"/>
    </row>
    <row r="49" spans="1:25" s="197" customFormat="1" ht="45" customHeight="1" x14ac:dyDescent="0.2">
      <c r="A49" s="378"/>
      <c r="B49" s="387" t="s">
        <v>820</v>
      </c>
      <c r="C49" s="388">
        <v>1</v>
      </c>
      <c r="D49" s="381" t="s">
        <v>819</v>
      </c>
      <c r="E49" s="382" t="s">
        <v>795</v>
      </c>
      <c r="F49" s="381" t="s">
        <v>768</v>
      </c>
      <c r="G49" s="383"/>
      <c r="H49" s="382" t="s">
        <v>821</v>
      </c>
      <c r="I49" s="384" t="s">
        <v>103</v>
      </c>
      <c r="J49" s="381" t="s">
        <v>822</v>
      </c>
      <c r="K49" s="344">
        <f t="shared" si="17"/>
        <v>2378</v>
      </c>
      <c r="L49" s="344">
        <v>2178</v>
      </c>
      <c r="M49" s="345">
        <v>100</v>
      </c>
      <c r="N49" s="345">
        <v>100</v>
      </c>
      <c r="O49" s="346">
        <v>2178</v>
      </c>
      <c r="P49" s="346">
        <v>0</v>
      </c>
      <c r="Q49" s="398">
        <v>2178</v>
      </c>
      <c r="R49" s="382"/>
      <c r="S49" s="382"/>
      <c r="T49" s="382"/>
      <c r="U49" s="382"/>
      <c r="V49" s="382"/>
      <c r="W49" s="382"/>
      <c r="X49" s="348" t="e">
        <f>#REF!-#REF!</f>
        <v>#REF!</v>
      </c>
      <c r="Y49" s="338"/>
    </row>
    <row r="50" spans="1:25" s="197" customFormat="1" x14ac:dyDescent="0.2">
      <c r="A50" s="378" t="s">
        <v>823</v>
      </c>
      <c r="B50" s="393" t="s">
        <v>824</v>
      </c>
      <c r="C50" s="380" t="e">
        <f>#REF!+#REF!+C51</f>
        <v>#REF!</v>
      </c>
      <c r="D50" s="381"/>
      <c r="E50" s="382"/>
      <c r="F50" s="381"/>
      <c r="G50" s="383"/>
      <c r="H50" s="382"/>
      <c r="I50" s="384"/>
      <c r="J50" s="381"/>
      <c r="K50" s="385">
        <f>K51</f>
        <v>1840</v>
      </c>
      <c r="L50" s="385">
        <f t="shared" ref="L50:Q50" si="23">L51</f>
        <v>1640</v>
      </c>
      <c r="M50" s="386">
        <f t="shared" si="23"/>
        <v>100</v>
      </c>
      <c r="N50" s="386">
        <f t="shared" si="23"/>
        <v>100</v>
      </c>
      <c r="O50" s="385">
        <f t="shared" si="23"/>
        <v>1640</v>
      </c>
      <c r="P50" s="385"/>
      <c r="Q50" s="385">
        <f t="shared" si="23"/>
        <v>1640</v>
      </c>
      <c r="R50" s="386" t="e">
        <f>#REF!+#REF!+R51</f>
        <v>#REF!</v>
      </c>
      <c r="S50" s="386" t="e">
        <f>#REF!+#REF!+S51</f>
        <v>#REF!</v>
      </c>
      <c r="T50" s="386" t="e">
        <f>#REF!+#REF!+T51</f>
        <v>#REF!</v>
      </c>
      <c r="U50" s="386" t="e">
        <f>#REF!+#REF!+U51</f>
        <v>#REF!</v>
      </c>
      <c r="V50" s="386" t="e">
        <f>#REF!+#REF!+V51</f>
        <v>#REF!</v>
      </c>
      <c r="W50" s="386" t="e">
        <f>#REF!+#REF!+W51</f>
        <v>#REF!</v>
      </c>
      <c r="X50" s="386" t="e">
        <f>#REF!+#REF!+X51</f>
        <v>#REF!</v>
      </c>
      <c r="Y50" s="338"/>
    </row>
    <row r="51" spans="1:25" s="197" customFormat="1" ht="42" customHeight="1" x14ac:dyDescent="0.2">
      <c r="A51" s="378"/>
      <c r="B51" s="387" t="s">
        <v>825</v>
      </c>
      <c r="C51" s="388">
        <v>1</v>
      </c>
      <c r="D51" s="381" t="s">
        <v>824</v>
      </c>
      <c r="E51" s="382" t="s">
        <v>795</v>
      </c>
      <c r="F51" s="381" t="s">
        <v>768</v>
      </c>
      <c r="G51" s="383"/>
      <c r="H51" s="382" t="s">
        <v>826</v>
      </c>
      <c r="I51" s="384" t="s">
        <v>103</v>
      </c>
      <c r="J51" s="381" t="s">
        <v>827</v>
      </c>
      <c r="K51" s="344">
        <f t="shared" si="17"/>
        <v>1840</v>
      </c>
      <c r="L51" s="344">
        <v>1640</v>
      </c>
      <c r="M51" s="345">
        <v>100</v>
      </c>
      <c r="N51" s="345">
        <v>100</v>
      </c>
      <c r="O51" s="346">
        <v>1640</v>
      </c>
      <c r="P51" s="346">
        <v>0</v>
      </c>
      <c r="Q51" s="398">
        <v>1640</v>
      </c>
      <c r="R51" s="382"/>
      <c r="S51" s="382"/>
      <c r="T51" s="382"/>
      <c r="U51" s="382"/>
      <c r="V51" s="382"/>
      <c r="W51" s="382"/>
      <c r="X51" s="348" t="e">
        <f>#REF!-#REF!</f>
        <v>#REF!</v>
      </c>
      <c r="Y51" s="338"/>
    </row>
    <row r="52" spans="1:25" s="197" customFormat="1" x14ac:dyDescent="0.2">
      <c r="A52" s="378"/>
      <c r="B52" s="387"/>
      <c r="C52" s="388"/>
      <c r="D52" s="381"/>
      <c r="E52" s="382"/>
      <c r="F52" s="381"/>
      <c r="G52" s="383"/>
      <c r="H52" s="382"/>
      <c r="I52" s="384"/>
      <c r="J52" s="381"/>
      <c r="K52" s="344"/>
      <c r="L52" s="344"/>
      <c r="M52" s="345"/>
      <c r="N52" s="345"/>
      <c r="O52" s="381"/>
      <c r="P52" s="381"/>
      <c r="Q52" s="397"/>
      <c r="R52" s="382"/>
      <c r="S52" s="382"/>
      <c r="T52" s="382"/>
      <c r="U52" s="382"/>
      <c r="V52" s="382"/>
      <c r="W52" s="382"/>
      <c r="X52" s="348"/>
      <c r="Y52" s="338"/>
    </row>
    <row r="53" spans="1:25" s="203" customFormat="1" ht="21" customHeight="1" x14ac:dyDescent="0.2">
      <c r="A53" s="292">
        <v>3</v>
      </c>
      <c r="B53" s="401" t="s">
        <v>828</v>
      </c>
      <c r="C53" s="368" t="e">
        <f>C54+C56</f>
        <v>#REF!</v>
      </c>
      <c r="D53" s="369"/>
      <c r="E53" s="370"/>
      <c r="F53" s="369"/>
      <c r="G53" s="371"/>
      <c r="H53" s="370"/>
      <c r="I53" s="372"/>
      <c r="J53" s="369"/>
      <c r="K53" s="373">
        <f>K54+K56</f>
        <v>5166</v>
      </c>
      <c r="L53" s="373">
        <f t="shared" ref="L53:W53" si="24">L54+L56</f>
        <v>5116</v>
      </c>
      <c r="M53" s="373">
        <f t="shared" si="24"/>
        <v>0</v>
      </c>
      <c r="N53" s="373">
        <f t="shared" si="24"/>
        <v>50</v>
      </c>
      <c r="O53" s="373">
        <f t="shared" si="24"/>
        <v>5116</v>
      </c>
      <c r="P53" s="373">
        <f t="shared" si="24"/>
        <v>0</v>
      </c>
      <c r="Q53" s="373">
        <f t="shared" si="24"/>
        <v>5116</v>
      </c>
      <c r="R53" s="374" t="e">
        <f t="shared" si="24"/>
        <v>#REF!</v>
      </c>
      <c r="S53" s="374" t="e">
        <f t="shared" si="24"/>
        <v>#REF!</v>
      </c>
      <c r="T53" s="374" t="e">
        <f t="shared" si="24"/>
        <v>#REF!</v>
      </c>
      <c r="U53" s="374" t="e">
        <f t="shared" si="24"/>
        <v>#REF!</v>
      </c>
      <c r="V53" s="374" t="e">
        <f t="shared" si="24"/>
        <v>#REF!</v>
      </c>
      <c r="W53" s="374" t="e">
        <f t="shared" si="24"/>
        <v>#REF!</v>
      </c>
      <c r="X53" s="374">
        <v>4536</v>
      </c>
      <c r="Y53" s="402"/>
    </row>
    <row r="54" spans="1:25" s="197" customFormat="1" ht="20.100000000000001" customHeight="1" x14ac:dyDescent="0.2">
      <c r="A54" s="378" t="s">
        <v>829</v>
      </c>
      <c r="B54" s="403" t="s">
        <v>830</v>
      </c>
      <c r="C54" s="380" t="e">
        <f>#REF!+C55+#REF!+#REF!</f>
        <v>#REF!</v>
      </c>
      <c r="D54" s="404"/>
      <c r="E54" s="405"/>
      <c r="F54" s="404"/>
      <c r="G54" s="406"/>
      <c r="H54" s="405"/>
      <c r="I54" s="407"/>
      <c r="J54" s="404"/>
      <c r="K54" s="385">
        <f>K55</f>
        <v>2583</v>
      </c>
      <c r="L54" s="385">
        <f t="shared" ref="L54:Q54" si="25">L55</f>
        <v>2558</v>
      </c>
      <c r="M54" s="385">
        <f t="shared" si="25"/>
        <v>0</v>
      </c>
      <c r="N54" s="385">
        <f t="shared" si="25"/>
        <v>25</v>
      </c>
      <c r="O54" s="385">
        <f t="shared" si="25"/>
        <v>2558</v>
      </c>
      <c r="P54" s="385">
        <f t="shared" si="25"/>
        <v>0</v>
      </c>
      <c r="Q54" s="385">
        <f t="shared" si="25"/>
        <v>2558</v>
      </c>
      <c r="R54" s="386" t="e">
        <f>#REF!+R55+#REF!+#REF!</f>
        <v>#REF!</v>
      </c>
      <c r="S54" s="386" t="e">
        <f>#REF!+S55+#REF!+#REF!</f>
        <v>#REF!</v>
      </c>
      <c r="T54" s="386" t="e">
        <f>#REF!+T55+#REF!+#REF!</f>
        <v>#REF!</v>
      </c>
      <c r="U54" s="386" t="e">
        <f>#REF!+U55+#REF!+#REF!</f>
        <v>#REF!</v>
      </c>
      <c r="V54" s="386" t="e">
        <f>#REF!+V55+#REF!+#REF!</f>
        <v>#REF!</v>
      </c>
      <c r="W54" s="386" t="e">
        <f>#REF!+W55+#REF!+#REF!</f>
        <v>#REF!</v>
      </c>
      <c r="X54" s="386" t="e">
        <f>#REF!+X55+#REF!+#REF!</f>
        <v>#REF!</v>
      </c>
      <c r="Y54" s="338"/>
    </row>
    <row r="55" spans="1:25" s="197" customFormat="1" ht="45" customHeight="1" x14ac:dyDescent="0.2">
      <c r="A55" s="408"/>
      <c r="B55" s="409" t="s">
        <v>831</v>
      </c>
      <c r="C55" s="410">
        <v>1</v>
      </c>
      <c r="D55" s="381" t="s">
        <v>830</v>
      </c>
      <c r="E55" s="381" t="s">
        <v>832</v>
      </c>
      <c r="F55" s="381" t="s">
        <v>768</v>
      </c>
      <c r="G55" s="383"/>
      <c r="H55" s="382" t="s">
        <v>833</v>
      </c>
      <c r="I55" s="384" t="s">
        <v>103</v>
      </c>
      <c r="J55" s="381" t="s">
        <v>834</v>
      </c>
      <c r="K55" s="346">
        <f>L55+M55+N55</f>
        <v>2583</v>
      </c>
      <c r="L55" s="398">
        <v>2558</v>
      </c>
      <c r="M55" s="411"/>
      <c r="N55" s="411">
        <v>25</v>
      </c>
      <c r="O55" s="346">
        <v>2558</v>
      </c>
      <c r="P55" s="346">
        <v>0</v>
      </c>
      <c r="Q55" s="360">
        <v>2558</v>
      </c>
      <c r="R55" s="360"/>
      <c r="S55" s="360"/>
      <c r="T55" s="360"/>
      <c r="U55" s="360"/>
      <c r="V55" s="360"/>
      <c r="W55" s="360"/>
      <c r="X55" s="360" t="e">
        <f>#REF!-#REF!</f>
        <v>#REF!</v>
      </c>
      <c r="Y55" s="338"/>
    </row>
    <row r="56" spans="1:25" s="197" customFormat="1" ht="22.5" customHeight="1" x14ac:dyDescent="0.2">
      <c r="A56" s="378" t="s">
        <v>835</v>
      </c>
      <c r="B56" s="403" t="s">
        <v>836</v>
      </c>
      <c r="C56" s="380" t="e">
        <f>#REF!+#REF!+C57</f>
        <v>#REF!</v>
      </c>
      <c r="D56" s="404"/>
      <c r="E56" s="405"/>
      <c r="F56" s="404"/>
      <c r="G56" s="406"/>
      <c r="H56" s="405"/>
      <c r="I56" s="407"/>
      <c r="J56" s="404"/>
      <c r="K56" s="385">
        <f>K57</f>
        <v>2583</v>
      </c>
      <c r="L56" s="385">
        <f t="shared" ref="L56:Q56" si="26">L57</f>
        <v>2558</v>
      </c>
      <c r="M56" s="386">
        <f t="shared" si="26"/>
        <v>0</v>
      </c>
      <c r="N56" s="386">
        <f t="shared" si="26"/>
        <v>25</v>
      </c>
      <c r="O56" s="385">
        <f t="shared" si="26"/>
        <v>2558</v>
      </c>
      <c r="P56" s="385"/>
      <c r="Q56" s="385">
        <f t="shared" si="26"/>
        <v>2558</v>
      </c>
      <c r="R56" s="386" t="e">
        <f>#REF!+#REF!+R57</f>
        <v>#REF!</v>
      </c>
      <c r="S56" s="386" t="e">
        <f>#REF!+#REF!+S57</f>
        <v>#REF!</v>
      </c>
      <c r="T56" s="386" t="e">
        <f>#REF!+#REF!+T57</f>
        <v>#REF!</v>
      </c>
      <c r="U56" s="386" t="e">
        <f>#REF!+#REF!+U57</f>
        <v>#REF!</v>
      </c>
      <c r="V56" s="386" t="e">
        <f>#REF!+#REF!+V57</f>
        <v>#REF!</v>
      </c>
      <c r="W56" s="386" t="e">
        <f>#REF!+#REF!+W57</f>
        <v>#REF!</v>
      </c>
      <c r="X56" s="386" t="e">
        <f>#REF!+#REF!+X57</f>
        <v>#REF!</v>
      </c>
      <c r="Y56" s="338"/>
    </row>
    <row r="57" spans="1:25" s="197" customFormat="1" ht="31.5" x14ac:dyDescent="0.2">
      <c r="A57" s="408"/>
      <c r="B57" s="409" t="s">
        <v>837</v>
      </c>
      <c r="C57" s="410">
        <v>1</v>
      </c>
      <c r="D57" s="410" t="s">
        <v>836</v>
      </c>
      <c r="E57" s="381" t="s">
        <v>832</v>
      </c>
      <c r="F57" s="381" t="s">
        <v>768</v>
      </c>
      <c r="G57" s="383"/>
      <c r="H57" s="382" t="s">
        <v>838</v>
      </c>
      <c r="I57" s="384" t="s">
        <v>103</v>
      </c>
      <c r="J57" s="381" t="s">
        <v>839</v>
      </c>
      <c r="K57" s="346">
        <f>L57+M57+N57</f>
        <v>2583</v>
      </c>
      <c r="L57" s="398">
        <v>2558</v>
      </c>
      <c r="M57" s="411"/>
      <c r="N57" s="411">
        <v>25</v>
      </c>
      <c r="O57" s="346">
        <v>2558</v>
      </c>
      <c r="P57" s="346">
        <v>0</v>
      </c>
      <c r="Q57" s="360">
        <v>2558</v>
      </c>
      <c r="R57" s="360"/>
      <c r="S57" s="360"/>
      <c r="T57" s="360"/>
      <c r="U57" s="360"/>
      <c r="V57" s="360"/>
      <c r="W57" s="360"/>
      <c r="X57" s="360" t="e">
        <f>#REF!-#REF!</f>
        <v>#REF!</v>
      </c>
      <c r="Y57" s="338"/>
    </row>
    <row r="58" spans="1:25" s="197" customFormat="1" x14ac:dyDescent="0.2">
      <c r="A58" s="338"/>
      <c r="B58" s="350"/>
      <c r="C58" s="342"/>
      <c r="D58" s="341"/>
      <c r="E58" s="342"/>
      <c r="F58" s="341"/>
      <c r="G58" s="359"/>
      <c r="H58" s="345"/>
      <c r="I58" s="346"/>
      <c r="J58" s="412"/>
      <c r="K58" s="412"/>
      <c r="L58" s="412"/>
      <c r="M58" s="413"/>
      <c r="N58" s="413"/>
      <c r="O58" s="338"/>
      <c r="P58" s="338"/>
      <c r="Q58" s="399"/>
      <c r="R58" s="414"/>
      <c r="S58" s="414"/>
      <c r="T58" s="414"/>
      <c r="U58" s="414"/>
      <c r="V58" s="414"/>
      <c r="W58" s="414"/>
      <c r="X58" s="414"/>
      <c r="Y58" s="338"/>
    </row>
    <row r="59" spans="1:25" s="204" customFormat="1" ht="23.45" customHeight="1" x14ac:dyDescent="0.2">
      <c r="A59" s="292">
        <v>4</v>
      </c>
      <c r="B59" s="401" t="s">
        <v>746</v>
      </c>
      <c r="C59" s="415" t="e">
        <f>#REF!+#REF!+C60+C66+C70</f>
        <v>#REF!</v>
      </c>
      <c r="D59" s="416"/>
      <c r="E59" s="417"/>
      <c r="F59" s="416"/>
      <c r="G59" s="418"/>
      <c r="H59" s="419"/>
      <c r="I59" s="420"/>
      <c r="J59" s="420"/>
      <c r="K59" s="420">
        <f>K60+K66+K70</f>
        <v>56788</v>
      </c>
      <c r="L59" s="420">
        <f t="shared" ref="L59:X59" si="27">L60+L66+L70</f>
        <v>28394</v>
      </c>
      <c r="M59" s="420">
        <f t="shared" si="27"/>
        <v>4420</v>
      </c>
      <c r="N59" s="420">
        <f t="shared" si="27"/>
        <v>23974</v>
      </c>
      <c r="O59" s="420">
        <f t="shared" si="27"/>
        <v>28394</v>
      </c>
      <c r="P59" s="420">
        <f t="shared" si="27"/>
        <v>12220</v>
      </c>
      <c r="Q59" s="420">
        <f t="shared" si="27"/>
        <v>16174</v>
      </c>
      <c r="R59" s="420" t="e">
        <f t="shared" si="27"/>
        <v>#REF!</v>
      </c>
      <c r="S59" s="420" t="e">
        <f t="shared" si="27"/>
        <v>#REF!</v>
      </c>
      <c r="T59" s="420" t="e">
        <f t="shared" si="27"/>
        <v>#REF!</v>
      </c>
      <c r="U59" s="420" t="e">
        <f t="shared" si="27"/>
        <v>#REF!</v>
      </c>
      <c r="V59" s="420" t="e">
        <f t="shared" si="27"/>
        <v>#REF!</v>
      </c>
      <c r="W59" s="420" t="e">
        <f t="shared" si="27"/>
        <v>#REF!</v>
      </c>
      <c r="X59" s="420" t="e">
        <f t="shared" si="27"/>
        <v>#REF!</v>
      </c>
      <c r="Y59" s="421"/>
    </row>
    <row r="60" spans="1:25" s="205" customFormat="1" ht="21.6" customHeight="1" x14ac:dyDescent="0.2">
      <c r="A60" s="422" t="s">
        <v>840</v>
      </c>
      <c r="B60" s="423" t="s">
        <v>841</v>
      </c>
      <c r="C60" s="424">
        <f t="shared" ref="C60" si="28">C61+C62+C63+C64</f>
        <v>4</v>
      </c>
      <c r="D60" s="425"/>
      <c r="E60" s="426"/>
      <c r="F60" s="425"/>
      <c r="G60" s="427"/>
      <c r="H60" s="413"/>
      <c r="I60" s="412"/>
      <c r="J60" s="412"/>
      <c r="K60" s="412">
        <f>K61+K62+K63+K64+K65</f>
        <v>20594</v>
      </c>
      <c r="L60" s="412">
        <f t="shared" ref="L60:X60" si="29">L61+L62+L63+L64+L65</f>
        <v>10297</v>
      </c>
      <c r="M60" s="412">
        <f t="shared" si="29"/>
        <v>1800</v>
      </c>
      <c r="N60" s="412">
        <f t="shared" si="29"/>
        <v>8497</v>
      </c>
      <c r="O60" s="412">
        <f t="shared" si="29"/>
        <v>10297</v>
      </c>
      <c r="P60" s="412">
        <f t="shared" si="29"/>
        <v>5122</v>
      </c>
      <c r="Q60" s="412">
        <f t="shared" si="29"/>
        <v>5175</v>
      </c>
      <c r="R60" s="412">
        <f t="shared" si="29"/>
        <v>0</v>
      </c>
      <c r="S60" s="412">
        <f t="shared" si="29"/>
        <v>0</v>
      </c>
      <c r="T60" s="412">
        <f t="shared" si="29"/>
        <v>2</v>
      </c>
      <c r="U60" s="412" t="e">
        <f t="shared" si="29"/>
        <v>#REF!</v>
      </c>
      <c r="V60" s="412">
        <f t="shared" si="29"/>
        <v>0</v>
      </c>
      <c r="W60" s="412">
        <f t="shared" si="29"/>
        <v>0</v>
      </c>
      <c r="X60" s="412" t="e">
        <f t="shared" si="29"/>
        <v>#REF!</v>
      </c>
      <c r="Y60" s="412"/>
    </row>
    <row r="61" spans="1:25" s="205" customFormat="1" ht="63.6" customHeight="1" x14ac:dyDescent="0.2">
      <c r="A61" s="422"/>
      <c r="B61" s="409" t="s">
        <v>842</v>
      </c>
      <c r="C61" s="428">
        <v>1</v>
      </c>
      <c r="D61" s="341" t="s">
        <v>841</v>
      </c>
      <c r="E61" s="342" t="s">
        <v>749</v>
      </c>
      <c r="F61" s="341" t="s">
        <v>768</v>
      </c>
      <c r="G61" s="383">
        <v>7968525</v>
      </c>
      <c r="H61" s="382" t="s">
        <v>843</v>
      </c>
      <c r="I61" s="381" t="s">
        <v>75</v>
      </c>
      <c r="J61" s="381" t="s">
        <v>844</v>
      </c>
      <c r="K61" s="346">
        <f t="shared" ref="K61:K76" si="30">L61+M61+N61</f>
        <v>7952</v>
      </c>
      <c r="L61" s="346">
        <v>3976</v>
      </c>
      <c r="M61" s="345">
        <v>500</v>
      </c>
      <c r="N61" s="345">
        <v>3476</v>
      </c>
      <c r="O61" s="346">
        <v>3976</v>
      </c>
      <c r="P61" s="346">
        <v>2648</v>
      </c>
      <c r="Q61" s="347">
        <v>1328</v>
      </c>
      <c r="R61" s="348"/>
      <c r="S61" s="348"/>
      <c r="T61" s="348">
        <v>1</v>
      </c>
      <c r="U61" s="348" t="e">
        <f>T61*#REF!</f>
        <v>#REF!</v>
      </c>
      <c r="V61" s="348"/>
      <c r="W61" s="348"/>
      <c r="X61" s="348" t="e">
        <f>#REF!-#REF!</f>
        <v>#REF!</v>
      </c>
      <c r="Y61" s="338"/>
    </row>
    <row r="62" spans="1:25" s="205" customFormat="1" ht="62.45" customHeight="1" x14ac:dyDescent="0.2">
      <c r="A62" s="422"/>
      <c r="B62" s="409" t="s">
        <v>845</v>
      </c>
      <c r="C62" s="428">
        <v>1</v>
      </c>
      <c r="D62" s="341" t="s">
        <v>841</v>
      </c>
      <c r="E62" s="342" t="s">
        <v>749</v>
      </c>
      <c r="F62" s="341" t="s">
        <v>768</v>
      </c>
      <c r="G62" s="383">
        <v>7968526</v>
      </c>
      <c r="H62" s="382" t="s">
        <v>846</v>
      </c>
      <c r="I62" s="381" t="s">
        <v>75</v>
      </c>
      <c r="J62" s="381" t="s">
        <v>847</v>
      </c>
      <c r="K62" s="346">
        <f t="shared" si="30"/>
        <v>6000</v>
      </c>
      <c r="L62" s="346">
        <v>3000</v>
      </c>
      <c r="M62" s="345">
        <v>500</v>
      </c>
      <c r="N62" s="345">
        <v>2500</v>
      </c>
      <c r="O62" s="346">
        <v>3000</v>
      </c>
      <c r="P62" s="346">
        <v>2474</v>
      </c>
      <c r="Q62" s="360">
        <v>526</v>
      </c>
      <c r="R62" s="348"/>
      <c r="S62" s="348"/>
      <c r="T62" s="348">
        <v>1</v>
      </c>
      <c r="U62" s="348" t="e">
        <f>T62*#REF!</f>
        <v>#REF!</v>
      </c>
      <c r="V62" s="348"/>
      <c r="W62" s="348"/>
      <c r="X62" s="348" t="e">
        <f>#REF!-#REF!</f>
        <v>#REF!</v>
      </c>
      <c r="Y62" s="338"/>
    </row>
    <row r="63" spans="1:25" s="205" customFormat="1" ht="69" customHeight="1" x14ac:dyDescent="0.2">
      <c r="A63" s="422"/>
      <c r="B63" s="409" t="s">
        <v>848</v>
      </c>
      <c r="C63" s="428">
        <v>1</v>
      </c>
      <c r="D63" s="341" t="s">
        <v>841</v>
      </c>
      <c r="E63" s="342" t="s">
        <v>749</v>
      </c>
      <c r="F63" s="341" t="s">
        <v>768</v>
      </c>
      <c r="G63" s="383"/>
      <c r="H63" s="382" t="s">
        <v>849</v>
      </c>
      <c r="I63" s="381" t="s">
        <v>537</v>
      </c>
      <c r="J63" s="381" t="s">
        <v>850</v>
      </c>
      <c r="K63" s="346">
        <f t="shared" si="30"/>
        <v>2260</v>
      </c>
      <c r="L63" s="346">
        <v>1130</v>
      </c>
      <c r="M63" s="345">
        <v>300</v>
      </c>
      <c r="N63" s="345">
        <v>830</v>
      </c>
      <c r="O63" s="346">
        <v>1130</v>
      </c>
      <c r="P63" s="346">
        <v>0</v>
      </c>
      <c r="Q63" s="360">
        <v>1130</v>
      </c>
      <c r="R63" s="348"/>
      <c r="S63" s="348"/>
      <c r="T63" s="348"/>
      <c r="U63" s="348"/>
      <c r="V63" s="348"/>
      <c r="W63" s="348"/>
      <c r="X63" s="348" t="e">
        <f>#REF!-#REF!</f>
        <v>#REF!</v>
      </c>
      <c r="Y63" s="338"/>
    </row>
    <row r="64" spans="1:25" s="205" customFormat="1" ht="50.45" customHeight="1" x14ac:dyDescent="0.2">
      <c r="A64" s="422"/>
      <c r="B64" s="409" t="s">
        <v>851</v>
      </c>
      <c r="C64" s="428">
        <v>1</v>
      </c>
      <c r="D64" s="341" t="s">
        <v>841</v>
      </c>
      <c r="E64" s="342" t="s">
        <v>749</v>
      </c>
      <c r="F64" s="341" t="s">
        <v>768</v>
      </c>
      <c r="G64" s="383"/>
      <c r="H64" s="382" t="s">
        <v>852</v>
      </c>
      <c r="I64" s="381" t="s">
        <v>103</v>
      </c>
      <c r="J64" s="381" t="s">
        <v>853</v>
      </c>
      <c r="K64" s="346">
        <f t="shared" si="30"/>
        <v>2640</v>
      </c>
      <c r="L64" s="346">
        <v>1320</v>
      </c>
      <c r="M64" s="345">
        <v>300</v>
      </c>
      <c r="N64" s="345">
        <v>1020</v>
      </c>
      <c r="O64" s="346">
        <v>1320</v>
      </c>
      <c r="P64" s="346">
        <v>0</v>
      </c>
      <c r="Q64" s="360">
        <v>1320</v>
      </c>
      <c r="R64" s="348"/>
      <c r="S64" s="348"/>
      <c r="T64" s="348"/>
      <c r="U64" s="348"/>
      <c r="V64" s="348"/>
      <c r="W64" s="348"/>
      <c r="X64" s="348" t="e">
        <f>#REF!-#REF!</f>
        <v>#REF!</v>
      </c>
      <c r="Y64" s="338"/>
    </row>
    <row r="65" spans="1:25" s="197" customFormat="1" ht="48.95" customHeight="1" x14ac:dyDescent="0.2">
      <c r="A65" s="378"/>
      <c r="B65" s="409" t="s">
        <v>854</v>
      </c>
      <c r="C65" s="410"/>
      <c r="D65" s="341" t="s">
        <v>841</v>
      </c>
      <c r="E65" s="341" t="s">
        <v>749</v>
      </c>
      <c r="F65" s="341" t="s">
        <v>768</v>
      </c>
      <c r="G65" s="383"/>
      <c r="H65" s="429" t="s">
        <v>855</v>
      </c>
      <c r="I65" s="381" t="s">
        <v>284</v>
      </c>
      <c r="J65" s="381" t="s">
        <v>856</v>
      </c>
      <c r="K65" s="346">
        <f t="shared" si="30"/>
        <v>1742</v>
      </c>
      <c r="L65" s="430">
        <v>871</v>
      </c>
      <c r="M65" s="345">
        <v>200</v>
      </c>
      <c r="N65" s="345">
        <v>671</v>
      </c>
      <c r="O65" s="346">
        <v>871</v>
      </c>
      <c r="P65" s="346">
        <v>0</v>
      </c>
      <c r="Q65" s="360">
        <v>871</v>
      </c>
      <c r="R65" s="360"/>
      <c r="S65" s="360"/>
      <c r="T65" s="360"/>
      <c r="U65" s="360"/>
      <c r="V65" s="360"/>
      <c r="W65" s="360"/>
      <c r="X65" s="360"/>
      <c r="Y65" s="431"/>
    </row>
    <row r="66" spans="1:25" s="205" customFormat="1" ht="21.6" customHeight="1" x14ac:dyDescent="0.2">
      <c r="A66" s="422" t="s">
        <v>857</v>
      </c>
      <c r="B66" s="423" t="s">
        <v>858</v>
      </c>
      <c r="C66" s="424" t="e">
        <f>#REF!+C67+C68</f>
        <v>#REF!</v>
      </c>
      <c r="D66" s="425"/>
      <c r="E66" s="426"/>
      <c r="F66" s="425"/>
      <c r="G66" s="427"/>
      <c r="H66" s="413"/>
      <c r="I66" s="412"/>
      <c r="J66" s="412"/>
      <c r="K66" s="412">
        <f>K67+K68+K69</f>
        <v>15594</v>
      </c>
      <c r="L66" s="412">
        <f t="shared" ref="L66:Q66" si="31">L67+L68+L69</f>
        <v>7797</v>
      </c>
      <c r="M66" s="412">
        <f t="shared" si="31"/>
        <v>1160</v>
      </c>
      <c r="N66" s="412">
        <f t="shared" si="31"/>
        <v>6637</v>
      </c>
      <c r="O66" s="412">
        <f t="shared" si="31"/>
        <v>7797</v>
      </c>
      <c r="P66" s="412">
        <f t="shared" si="31"/>
        <v>2474</v>
      </c>
      <c r="Q66" s="412">
        <f t="shared" si="31"/>
        <v>5323</v>
      </c>
      <c r="R66" s="413" t="e">
        <f>#REF!+R67+R68</f>
        <v>#REF!</v>
      </c>
      <c r="S66" s="413" t="e">
        <f>#REF!+S67+S68</f>
        <v>#REF!</v>
      </c>
      <c r="T66" s="413" t="e">
        <f>#REF!+T67+T68</f>
        <v>#REF!</v>
      </c>
      <c r="U66" s="413" t="e">
        <f>#REF!+U67+U68</f>
        <v>#REF!</v>
      </c>
      <c r="V66" s="413" t="e">
        <f>#REF!+V67+V68</f>
        <v>#REF!</v>
      </c>
      <c r="W66" s="413" t="e">
        <f>#REF!+W67+W68</f>
        <v>#REF!</v>
      </c>
      <c r="X66" s="413" t="e">
        <f>#REF!+X67+X68</f>
        <v>#REF!</v>
      </c>
      <c r="Y66" s="412"/>
    </row>
    <row r="67" spans="1:25" s="205" customFormat="1" ht="52.5" customHeight="1" x14ac:dyDescent="0.2">
      <c r="A67" s="422"/>
      <c r="B67" s="409" t="s">
        <v>859</v>
      </c>
      <c r="C67" s="428">
        <v>1</v>
      </c>
      <c r="D67" s="341" t="s">
        <v>858</v>
      </c>
      <c r="E67" s="342" t="s">
        <v>749</v>
      </c>
      <c r="F67" s="341" t="s">
        <v>768</v>
      </c>
      <c r="G67" s="383">
        <v>7967856</v>
      </c>
      <c r="H67" s="382" t="s">
        <v>860</v>
      </c>
      <c r="I67" s="381" t="s">
        <v>75</v>
      </c>
      <c r="J67" s="381" t="s">
        <v>861</v>
      </c>
      <c r="K67" s="346">
        <f t="shared" si="30"/>
        <v>7678</v>
      </c>
      <c r="L67" s="346">
        <v>3839</v>
      </c>
      <c r="M67" s="345">
        <v>500</v>
      </c>
      <c r="N67" s="345">
        <v>3339</v>
      </c>
      <c r="O67" s="346">
        <v>3839</v>
      </c>
      <c r="P67" s="346">
        <v>2474</v>
      </c>
      <c r="Q67" s="360">
        <v>1365</v>
      </c>
      <c r="R67" s="348"/>
      <c r="S67" s="348" t="e">
        <f>R67*#REF!</f>
        <v>#REF!</v>
      </c>
      <c r="T67" s="348">
        <v>1</v>
      </c>
      <c r="U67" s="348" t="e">
        <f>T67*#REF!</f>
        <v>#REF!</v>
      </c>
      <c r="V67" s="348"/>
      <c r="W67" s="348"/>
      <c r="X67" s="348" t="e">
        <f>#REF!-#REF!</f>
        <v>#REF!</v>
      </c>
      <c r="Y67" s="338"/>
    </row>
    <row r="68" spans="1:25" s="205" customFormat="1" ht="52.5" customHeight="1" x14ac:dyDescent="0.2">
      <c r="A68" s="422"/>
      <c r="B68" s="409" t="s">
        <v>862</v>
      </c>
      <c r="C68" s="428">
        <v>1</v>
      </c>
      <c r="D68" s="341" t="s">
        <v>858</v>
      </c>
      <c r="E68" s="342" t="s">
        <v>749</v>
      </c>
      <c r="F68" s="341" t="s">
        <v>768</v>
      </c>
      <c r="G68" s="427"/>
      <c r="H68" s="382" t="s">
        <v>863</v>
      </c>
      <c r="I68" s="381" t="s">
        <v>103</v>
      </c>
      <c r="J68" s="381" t="s">
        <v>864</v>
      </c>
      <c r="K68" s="346">
        <f t="shared" si="30"/>
        <v>6176</v>
      </c>
      <c r="L68" s="346">
        <v>3088</v>
      </c>
      <c r="M68" s="345">
        <v>500</v>
      </c>
      <c r="N68" s="345">
        <v>2588</v>
      </c>
      <c r="O68" s="346">
        <v>3088</v>
      </c>
      <c r="P68" s="346">
        <v>0</v>
      </c>
      <c r="Q68" s="360">
        <v>3088</v>
      </c>
      <c r="R68" s="348"/>
      <c r="S68" s="348"/>
      <c r="T68" s="348"/>
      <c r="U68" s="348"/>
      <c r="V68" s="348"/>
      <c r="W68" s="348"/>
      <c r="X68" s="348" t="e">
        <f>#REF!-#REF!</f>
        <v>#REF!</v>
      </c>
      <c r="Y68" s="338"/>
    </row>
    <row r="69" spans="1:25" s="197" customFormat="1" ht="47.25" x14ac:dyDescent="0.2">
      <c r="A69" s="378"/>
      <c r="B69" s="409" t="s">
        <v>865</v>
      </c>
      <c r="C69" s="410"/>
      <c r="D69" s="341" t="s">
        <v>858</v>
      </c>
      <c r="E69" s="341" t="s">
        <v>749</v>
      </c>
      <c r="F69" s="341" t="s">
        <v>768</v>
      </c>
      <c r="G69" s="427"/>
      <c r="H69" s="429" t="s">
        <v>855</v>
      </c>
      <c r="I69" s="381" t="s">
        <v>284</v>
      </c>
      <c r="J69" s="381" t="s">
        <v>866</v>
      </c>
      <c r="K69" s="346">
        <f t="shared" si="30"/>
        <v>1740</v>
      </c>
      <c r="L69" s="346">
        <v>870</v>
      </c>
      <c r="M69" s="345">
        <v>160</v>
      </c>
      <c r="N69" s="345">
        <v>710</v>
      </c>
      <c r="O69" s="346">
        <v>870</v>
      </c>
      <c r="P69" s="346">
        <v>0</v>
      </c>
      <c r="Q69" s="360">
        <v>870</v>
      </c>
      <c r="R69" s="360"/>
      <c r="S69" s="360"/>
      <c r="T69" s="360"/>
      <c r="U69" s="360"/>
      <c r="V69" s="360"/>
      <c r="W69" s="360"/>
      <c r="X69" s="360"/>
      <c r="Y69" s="338"/>
    </row>
    <row r="70" spans="1:25" s="205" customFormat="1" ht="23.45" customHeight="1" x14ac:dyDescent="0.2">
      <c r="A70" s="422" t="s">
        <v>867</v>
      </c>
      <c r="B70" s="423" t="s">
        <v>868</v>
      </c>
      <c r="C70" s="424" t="e">
        <f>C71+C72+#REF!+C73+C74+C75</f>
        <v>#REF!</v>
      </c>
      <c r="D70" s="425"/>
      <c r="E70" s="426"/>
      <c r="F70" s="425"/>
      <c r="G70" s="427"/>
      <c r="H70" s="413"/>
      <c r="I70" s="412"/>
      <c r="J70" s="412"/>
      <c r="K70" s="412">
        <f>K71+K72+K73+K74+K75+K76</f>
        <v>20600</v>
      </c>
      <c r="L70" s="412">
        <f t="shared" ref="L70:Q70" si="32">L71+L72+L73+L74+L75+L76</f>
        <v>10300</v>
      </c>
      <c r="M70" s="412">
        <f t="shared" si="32"/>
        <v>1460</v>
      </c>
      <c r="N70" s="412">
        <f t="shared" si="32"/>
        <v>8840</v>
      </c>
      <c r="O70" s="412">
        <f t="shared" si="32"/>
        <v>10300</v>
      </c>
      <c r="P70" s="412">
        <f t="shared" si="32"/>
        <v>4624</v>
      </c>
      <c r="Q70" s="412">
        <f t="shared" si="32"/>
        <v>5676</v>
      </c>
      <c r="R70" s="413" t="e">
        <f>R71+R72+#REF!+R73+R74+R75</f>
        <v>#REF!</v>
      </c>
      <c r="S70" s="413" t="e">
        <f>S71+S72+#REF!+S73+S74+S75</f>
        <v>#REF!</v>
      </c>
      <c r="T70" s="413" t="e">
        <f>T71+T72+#REF!+T73+T74+T75</f>
        <v>#REF!</v>
      </c>
      <c r="U70" s="413" t="e">
        <f>U71+U72+#REF!+U73+U74+U75</f>
        <v>#REF!</v>
      </c>
      <c r="V70" s="413" t="e">
        <f>V71+V72+#REF!+V73+V74+V75</f>
        <v>#REF!</v>
      </c>
      <c r="W70" s="413" t="e">
        <f>W71+W72+#REF!+W73+W74+W75</f>
        <v>#REF!</v>
      </c>
      <c r="X70" s="413" t="e">
        <f>X71+X72+#REF!+X73+X74+X75</f>
        <v>#REF!</v>
      </c>
      <c r="Y70" s="432"/>
    </row>
    <row r="71" spans="1:25" s="205" customFormat="1" ht="69.95" customHeight="1" x14ac:dyDescent="0.2">
      <c r="A71" s="422"/>
      <c r="B71" s="409" t="s">
        <v>869</v>
      </c>
      <c r="C71" s="428">
        <v>1</v>
      </c>
      <c r="D71" s="341" t="s">
        <v>868</v>
      </c>
      <c r="E71" s="342" t="s">
        <v>749</v>
      </c>
      <c r="F71" s="341" t="s">
        <v>768</v>
      </c>
      <c r="G71" s="383">
        <v>7968527</v>
      </c>
      <c r="H71" s="382" t="s">
        <v>870</v>
      </c>
      <c r="I71" s="381" t="s">
        <v>75</v>
      </c>
      <c r="J71" s="381" t="s">
        <v>871</v>
      </c>
      <c r="K71" s="346">
        <f t="shared" si="30"/>
        <v>6400</v>
      </c>
      <c r="L71" s="346">
        <v>3200</v>
      </c>
      <c r="M71" s="345">
        <v>500</v>
      </c>
      <c r="N71" s="345">
        <v>2700</v>
      </c>
      <c r="O71" s="346">
        <v>3200</v>
      </c>
      <c r="P71" s="346">
        <v>2350</v>
      </c>
      <c r="Q71" s="360">
        <v>850</v>
      </c>
      <c r="R71" s="348">
        <v>1</v>
      </c>
      <c r="S71" s="348" t="e">
        <f>R71*#REF!</f>
        <v>#REF!</v>
      </c>
      <c r="T71" s="348"/>
      <c r="U71" s="348"/>
      <c r="V71" s="348"/>
      <c r="W71" s="348"/>
      <c r="X71" s="348" t="e">
        <f>#REF!-#REF!</f>
        <v>#REF!</v>
      </c>
      <c r="Y71" s="338"/>
    </row>
    <row r="72" spans="1:25" s="205" customFormat="1" ht="52.5" customHeight="1" x14ac:dyDescent="0.2">
      <c r="A72" s="422"/>
      <c r="B72" s="409" t="s">
        <v>872</v>
      </c>
      <c r="C72" s="428">
        <v>1</v>
      </c>
      <c r="D72" s="341" t="s">
        <v>868</v>
      </c>
      <c r="E72" s="342" t="s">
        <v>749</v>
      </c>
      <c r="F72" s="341" t="s">
        <v>768</v>
      </c>
      <c r="G72" s="383">
        <v>7968524</v>
      </c>
      <c r="H72" s="382" t="s">
        <v>870</v>
      </c>
      <c r="I72" s="381" t="s">
        <v>75</v>
      </c>
      <c r="J72" s="381" t="s">
        <v>873</v>
      </c>
      <c r="K72" s="346">
        <f t="shared" si="30"/>
        <v>7738</v>
      </c>
      <c r="L72" s="346">
        <f>3200+669</f>
        <v>3869</v>
      </c>
      <c r="M72" s="345">
        <v>500</v>
      </c>
      <c r="N72" s="345">
        <v>3369</v>
      </c>
      <c r="O72" s="346">
        <v>3869</v>
      </c>
      <c r="P72" s="346">
        <v>2274</v>
      </c>
      <c r="Q72" s="360">
        <v>1595</v>
      </c>
      <c r="R72" s="348">
        <v>1</v>
      </c>
      <c r="S72" s="348" t="e">
        <f>R72*#REF!</f>
        <v>#REF!</v>
      </c>
      <c r="T72" s="348"/>
      <c r="U72" s="348"/>
      <c r="V72" s="348"/>
      <c r="W72" s="348"/>
      <c r="X72" s="348" t="e">
        <f>#REF!-#REF!</f>
        <v>#REF!</v>
      </c>
      <c r="Y72" s="350"/>
    </row>
    <row r="73" spans="1:25" s="205" customFormat="1" ht="57.6" customHeight="1" x14ac:dyDescent="0.2">
      <c r="A73" s="422"/>
      <c r="B73" s="409" t="s">
        <v>874</v>
      </c>
      <c r="C73" s="428">
        <v>1</v>
      </c>
      <c r="D73" s="341" t="s">
        <v>868</v>
      </c>
      <c r="E73" s="342" t="s">
        <v>749</v>
      </c>
      <c r="F73" s="341" t="s">
        <v>768</v>
      </c>
      <c r="G73" s="427"/>
      <c r="H73" s="382" t="s">
        <v>875</v>
      </c>
      <c r="I73" s="381" t="s">
        <v>537</v>
      </c>
      <c r="J73" s="381" t="s">
        <v>876</v>
      </c>
      <c r="K73" s="346">
        <f t="shared" si="30"/>
        <v>1560</v>
      </c>
      <c r="L73" s="346">
        <v>780</v>
      </c>
      <c r="M73" s="345">
        <v>100</v>
      </c>
      <c r="N73" s="345">
        <v>680</v>
      </c>
      <c r="O73" s="346">
        <v>780</v>
      </c>
      <c r="P73" s="346">
        <v>0</v>
      </c>
      <c r="Q73" s="360">
        <v>780</v>
      </c>
      <c r="R73" s="348"/>
      <c r="S73" s="348"/>
      <c r="T73" s="348"/>
      <c r="U73" s="348"/>
      <c r="V73" s="348"/>
      <c r="W73" s="348"/>
      <c r="X73" s="348" t="e">
        <f>#REF!-#REF!</f>
        <v>#REF!</v>
      </c>
      <c r="Y73" s="338"/>
    </row>
    <row r="74" spans="1:25" s="205" customFormat="1" ht="75.95" customHeight="1" x14ac:dyDescent="0.2">
      <c r="A74" s="422"/>
      <c r="B74" s="409" t="s">
        <v>877</v>
      </c>
      <c r="C74" s="428">
        <v>1</v>
      </c>
      <c r="D74" s="341" t="s">
        <v>868</v>
      </c>
      <c r="E74" s="342" t="s">
        <v>749</v>
      </c>
      <c r="F74" s="341" t="s">
        <v>768</v>
      </c>
      <c r="G74" s="427"/>
      <c r="H74" s="382" t="s">
        <v>875</v>
      </c>
      <c r="I74" s="381" t="s">
        <v>537</v>
      </c>
      <c r="J74" s="381" t="s">
        <v>878</v>
      </c>
      <c r="K74" s="346">
        <f t="shared" si="30"/>
        <v>1560</v>
      </c>
      <c r="L74" s="346">
        <v>780</v>
      </c>
      <c r="M74" s="345">
        <v>100</v>
      </c>
      <c r="N74" s="345">
        <v>680</v>
      </c>
      <c r="O74" s="346">
        <v>780</v>
      </c>
      <c r="P74" s="346">
        <v>0</v>
      </c>
      <c r="Q74" s="360">
        <v>780</v>
      </c>
      <c r="R74" s="348"/>
      <c r="S74" s="348"/>
      <c r="T74" s="348"/>
      <c r="U74" s="348"/>
      <c r="V74" s="348"/>
      <c r="W74" s="348"/>
      <c r="X74" s="348" t="e">
        <f>#REF!-#REF!</f>
        <v>#REF!</v>
      </c>
      <c r="Y74" s="338"/>
    </row>
    <row r="75" spans="1:25" s="205" customFormat="1" ht="66.599999999999994" customHeight="1" x14ac:dyDescent="0.2">
      <c r="A75" s="422"/>
      <c r="B75" s="409" t="s">
        <v>879</v>
      </c>
      <c r="C75" s="428">
        <v>1</v>
      </c>
      <c r="D75" s="341" t="s">
        <v>868</v>
      </c>
      <c r="E75" s="342" t="s">
        <v>749</v>
      </c>
      <c r="F75" s="341" t="s">
        <v>768</v>
      </c>
      <c r="G75" s="427"/>
      <c r="H75" s="382" t="s">
        <v>880</v>
      </c>
      <c r="I75" s="381" t="s">
        <v>103</v>
      </c>
      <c r="J75" s="381" t="s">
        <v>881</v>
      </c>
      <c r="K75" s="346">
        <f t="shared" si="30"/>
        <v>1600</v>
      </c>
      <c r="L75" s="346">
        <v>800</v>
      </c>
      <c r="M75" s="345">
        <v>100</v>
      </c>
      <c r="N75" s="345">
        <v>700</v>
      </c>
      <c r="O75" s="346">
        <v>800</v>
      </c>
      <c r="P75" s="346">
        <v>0</v>
      </c>
      <c r="Q75" s="360">
        <v>800</v>
      </c>
      <c r="R75" s="348"/>
      <c r="S75" s="348"/>
      <c r="T75" s="348"/>
      <c r="U75" s="348"/>
      <c r="V75" s="348"/>
      <c r="W75" s="348"/>
      <c r="X75" s="348" t="e">
        <f>#REF!-#REF!</f>
        <v>#REF!</v>
      </c>
      <c r="Y75" s="338"/>
    </row>
    <row r="76" spans="1:25" s="197" customFormat="1" ht="60" customHeight="1" x14ac:dyDescent="0.2">
      <c r="A76" s="378"/>
      <c r="B76" s="409" t="s">
        <v>879</v>
      </c>
      <c r="C76" s="341"/>
      <c r="D76" s="341" t="s">
        <v>868</v>
      </c>
      <c r="E76" s="341" t="s">
        <v>749</v>
      </c>
      <c r="F76" s="341" t="s">
        <v>768</v>
      </c>
      <c r="G76" s="359"/>
      <c r="H76" s="429" t="s">
        <v>882</v>
      </c>
      <c r="I76" s="381" t="s">
        <v>284</v>
      </c>
      <c r="J76" s="381" t="s">
        <v>883</v>
      </c>
      <c r="K76" s="346">
        <f t="shared" si="30"/>
        <v>1742</v>
      </c>
      <c r="L76" s="346">
        <v>871</v>
      </c>
      <c r="M76" s="345">
        <v>160</v>
      </c>
      <c r="N76" s="345">
        <v>711</v>
      </c>
      <c r="O76" s="346">
        <v>871</v>
      </c>
      <c r="P76" s="346">
        <v>0</v>
      </c>
      <c r="Q76" s="360">
        <v>871</v>
      </c>
      <c r="R76" s="360"/>
      <c r="S76" s="360"/>
      <c r="T76" s="360"/>
      <c r="U76" s="360"/>
      <c r="V76" s="360"/>
      <c r="W76" s="360"/>
      <c r="X76" s="360"/>
      <c r="Y76" s="338"/>
    </row>
    <row r="77" spans="1:25" s="197" customFormat="1" x14ac:dyDescent="0.2">
      <c r="A77" s="338"/>
      <c r="B77" s="350"/>
      <c r="C77" s="342"/>
      <c r="D77" s="341"/>
      <c r="E77" s="342"/>
      <c r="F77" s="341"/>
      <c r="G77" s="359"/>
      <c r="H77" s="345"/>
      <c r="I77" s="346"/>
      <c r="J77" s="412"/>
      <c r="K77" s="412"/>
      <c r="L77" s="412"/>
      <c r="M77" s="413"/>
      <c r="N77" s="413"/>
      <c r="O77" s="338"/>
      <c r="P77" s="338"/>
      <c r="Q77" s="399"/>
      <c r="R77" s="414"/>
      <c r="S77" s="414"/>
      <c r="T77" s="414"/>
      <c r="U77" s="414"/>
      <c r="V77" s="414"/>
      <c r="W77" s="414"/>
      <c r="X77" s="414"/>
      <c r="Y77" s="338"/>
    </row>
    <row r="78" spans="1:25" s="204" customFormat="1" ht="22.5" customHeight="1" x14ac:dyDescent="0.2">
      <c r="A78" s="433">
        <v>5</v>
      </c>
      <c r="B78" s="434" t="s">
        <v>732</v>
      </c>
      <c r="C78" s="415" t="e">
        <f>#REF!+C79+C82+C85+C87</f>
        <v>#REF!</v>
      </c>
      <c r="D78" s="416"/>
      <c r="E78" s="417"/>
      <c r="F78" s="416"/>
      <c r="G78" s="418"/>
      <c r="H78" s="419"/>
      <c r="I78" s="420"/>
      <c r="J78" s="420"/>
      <c r="K78" s="420">
        <f>K79+K82+K85+K87</f>
        <v>33063</v>
      </c>
      <c r="L78" s="420">
        <f t="shared" ref="L78:Q78" si="33">L79+L82+L85+L87</f>
        <v>24894</v>
      </c>
      <c r="M78" s="420">
        <f t="shared" si="33"/>
        <v>6969</v>
      </c>
      <c r="N78" s="420">
        <f t="shared" si="33"/>
        <v>1200</v>
      </c>
      <c r="O78" s="420">
        <f t="shared" si="33"/>
        <v>24894</v>
      </c>
      <c r="P78" s="420">
        <f t="shared" si="33"/>
        <v>14075</v>
      </c>
      <c r="Q78" s="420">
        <f t="shared" si="33"/>
        <v>10819</v>
      </c>
      <c r="R78" s="419" t="e">
        <f>#REF!+R79+R82+R85+R87</f>
        <v>#REF!</v>
      </c>
      <c r="S78" s="419" t="e">
        <f>#REF!+S79+S82+S85+S87</f>
        <v>#REF!</v>
      </c>
      <c r="T78" s="419" t="e">
        <f>#REF!+T79+T82+T85+T87</f>
        <v>#REF!</v>
      </c>
      <c r="U78" s="419" t="e">
        <f>#REF!+U79+U82+U85+U87</f>
        <v>#REF!</v>
      </c>
      <c r="V78" s="419" t="e">
        <f>#REF!+V79+V82+V85+V87</f>
        <v>#REF!</v>
      </c>
      <c r="W78" s="419" t="e">
        <f>#REF!+W79+W82+W85+W87</f>
        <v>#REF!</v>
      </c>
      <c r="X78" s="419" t="e">
        <f>#REF!+X79+X82+X85+X87</f>
        <v>#REF!</v>
      </c>
      <c r="Y78" s="421"/>
    </row>
    <row r="79" spans="1:25" s="205" customFormat="1" ht="20.100000000000001" customHeight="1" x14ac:dyDescent="0.2">
      <c r="A79" s="422" t="s">
        <v>884</v>
      </c>
      <c r="B79" s="423" t="s">
        <v>885</v>
      </c>
      <c r="C79" s="424" t="e">
        <f>#REF!+#REF!+C80+C81</f>
        <v>#REF!</v>
      </c>
      <c r="D79" s="435"/>
      <c r="E79" s="426"/>
      <c r="F79" s="381" t="s">
        <v>768</v>
      </c>
      <c r="G79" s="427"/>
      <c r="H79" s="413"/>
      <c r="I79" s="436"/>
      <c r="J79" s="412"/>
      <c r="K79" s="412">
        <f>K80+K81</f>
        <v>10236</v>
      </c>
      <c r="L79" s="412">
        <f t="shared" ref="L79:Q79" si="34">L80+L81</f>
        <v>6124</v>
      </c>
      <c r="M79" s="412">
        <f t="shared" si="34"/>
        <v>3712</v>
      </c>
      <c r="N79" s="412">
        <f t="shared" si="34"/>
        <v>400</v>
      </c>
      <c r="O79" s="412">
        <f t="shared" si="34"/>
        <v>6124</v>
      </c>
      <c r="P79" s="412">
        <f t="shared" si="34"/>
        <v>0</v>
      </c>
      <c r="Q79" s="412">
        <f t="shared" si="34"/>
        <v>6124</v>
      </c>
      <c r="R79" s="413" t="e">
        <f>#REF!+#REF!+R80+R81</f>
        <v>#REF!</v>
      </c>
      <c r="S79" s="413" t="e">
        <f>#REF!+#REF!+S80+S81</f>
        <v>#REF!</v>
      </c>
      <c r="T79" s="413" t="e">
        <f>#REF!+#REF!+T80+T81</f>
        <v>#REF!</v>
      </c>
      <c r="U79" s="413" t="e">
        <f>#REF!+#REF!+U80+U81</f>
        <v>#REF!</v>
      </c>
      <c r="V79" s="413" t="e">
        <f>#REF!+#REF!+V80+V81</f>
        <v>#REF!</v>
      </c>
      <c r="W79" s="413" t="e">
        <f>#REF!+#REF!+W80+W81</f>
        <v>#REF!</v>
      </c>
      <c r="X79" s="413">
        <v>5680</v>
      </c>
      <c r="Y79" s="432"/>
    </row>
    <row r="80" spans="1:25" s="197" customFormat="1" ht="84" customHeight="1" x14ac:dyDescent="0.2">
      <c r="A80" s="349"/>
      <c r="B80" s="339" t="s">
        <v>886</v>
      </c>
      <c r="C80" s="437">
        <v>1</v>
      </c>
      <c r="D80" s="438" t="s">
        <v>885</v>
      </c>
      <c r="E80" s="342" t="s">
        <v>735</v>
      </c>
      <c r="F80" s="381" t="s">
        <v>768</v>
      </c>
      <c r="G80" s="383">
        <v>8033526</v>
      </c>
      <c r="H80" s="382" t="s">
        <v>887</v>
      </c>
      <c r="I80" s="381" t="s">
        <v>75</v>
      </c>
      <c r="J80" s="381" t="s">
        <v>888</v>
      </c>
      <c r="K80" s="344">
        <f t="shared" ref="K80:K84" si="35">L80+M80+N80</f>
        <v>3872</v>
      </c>
      <c r="L80" s="346">
        <v>2310</v>
      </c>
      <c r="M80" s="345">
        <v>1362</v>
      </c>
      <c r="N80" s="345">
        <v>200</v>
      </c>
      <c r="O80" s="346">
        <v>2310</v>
      </c>
      <c r="P80" s="346">
        <v>0</v>
      </c>
      <c r="Q80" s="347">
        <v>2310</v>
      </c>
      <c r="R80" s="348"/>
      <c r="S80" s="348"/>
      <c r="T80" s="348"/>
      <c r="U80" s="348"/>
      <c r="V80" s="348"/>
      <c r="W80" s="348"/>
      <c r="X80" s="348" t="e">
        <f>#REF!-#REF!</f>
        <v>#REF!</v>
      </c>
      <c r="Y80" s="338"/>
    </row>
    <row r="81" spans="1:25" s="197" customFormat="1" ht="65.099999999999994" customHeight="1" x14ac:dyDescent="0.2">
      <c r="A81" s="349"/>
      <c r="B81" s="339" t="s">
        <v>889</v>
      </c>
      <c r="C81" s="439">
        <v>1</v>
      </c>
      <c r="D81" s="341" t="s">
        <v>885</v>
      </c>
      <c r="E81" s="341" t="s">
        <v>735</v>
      </c>
      <c r="F81" s="381" t="s">
        <v>768</v>
      </c>
      <c r="G81" s="384">
        <v>8033525</v>
      </c>
      <c r="H81" s="381" t="s">
        <v>890</v>
      </c>
      <c r="I81" s="381" t="s">
        <v>537</v>
      </c>
      <c r="J81" s="381" t="s">
        <v>891</v>
      </c>
      <c r="K81" s="346">
        <f t="shared" si="35"/>
        <v>6364</v>
      </c>
      <c r="L81" s="346">
        <v>3814</v>
      </c>
      <c r="M81" s="346">
        <v>2350</v>
      </c>
      <c r="N81" s="346">
        <v>200</v>
      </c>
      <c r="O81" s="346">
        <v>3814</v>
      </c>
      <c r="P81" s="346">
        <v>0</v>
      </c>
      <c r="Q81" s="360">
        <v>3814</v>
      </c>
      <c r="R81" s="360"/>
      <c r="S81" s="360"/>
      <c r="T81" s="360"/>
      <c r="U81" s="360"/>
      <c r="V81" s="360"/>
      <c r="W81" s="360"/>
      <c r="X81" s="360" t="e">
        <f>#REF!-#REF!</f>
        <v>#REF!</v>
      </c>
      <c r="Y81" s="338"/>
    </row>
    <row r="82" spans="1:25" s="206" customFormat="1" x14ac:dyDescent="0.2">
      <c r="A82" s="440" t="s">
        <v>892</v>
      </c>
      <c r="B82" s="441" t="s">
        <v>893</v>
      </c>
      <c r="C82" s="424">
        <f>C83+C84</f>
        <v>2</v>
      </c>
      <c r="D82" s="435"/>
      <c r="E82" s="426"/>
      <c r="F82" s="425"/>
      <c r="G82" s="427"/>
      <c r="H82" s="413"/>
      <c r="I82" s="436"/>
      <c r="J82" s="412"/>
      <c r="K82" s="436">
        <f t="shared" ref="K82:W82" si="36">K83+K84</f>
        <v>12996</v>
      </c>
      <c r="L82" s="436">
        <f t="shared" si="36"/>
        <v>10298</v>
      </c>
      <c r="M82" s="436">
        <f t="shared" si="36"/>
        <v>2298</v>
      </c>
      <c r="N82" s="436">
        <f t="shared" si="36"/>
        <v>400</v>
      </c>
      <c r="O82" s="436">
        <f t="shared" si="36"/>
        <v>10298</v>
      </c>
      <c r="P82" s="436">
        <f t="shared" si="36"/>
        <v>9428</v>
      </c>
      <c r="Q82" s="436">
        <f t="shared" si="36"/>
        <v>870</v>
      </c>
      <c r="R82" s="413">
        <f t="shared" si="36"/>
        <v>2</v>
      </c>
      <c r="S82" s="413" t="e">
        <f t="shared" si="36"/>
        <v>#REF!</v>
      </c>
      <c r="T82" s="413">
        <f t="shared" si="36"/>
        <v>0</v>
      </c>
      <c r="U82" s="413">
        <f t="shared" si="36"/>
        <v>0</v>
      </c>
      <c r="V82" s="413">
        <f t="shared" si="36"/>
        <v>0</v>
      </c>
      <c r="W82" s="413">
        <f t="shared" si="36"/>
        <v>0</v>
      </c>
      <c r="X82" s="413">
        <v>161</v>
      </c>
      <c r="Y82" s="442"/>
    </row>
    <row r="83" spans="1:25" s="202" customFormat="1" ht="77.45" customHeight="1" x14ac:dyDescent="0.2">
      <c r="A83" s="443"/>
      <c r="B83" s="339" t="s">
        <v>894</v>
      </c>
      <c r="C83" s="437">
        <v>1</v>
      </c>
      <c r="D83" s="438" t="s">
        <v>893</v>
      </c>
      <c r="E83" s="342" t="s">
        <v>735</v>
      </c>
      <c r="F83" s="381" t="s">
        <v>768</v>
      </c>
      <c r="G83" s="383">
        <v>7971213</v>
      </c>
      <c r="H83" s="382" t="s">
        <v>895</v>
      </c>
      <c r="I83" s="381" t="s">
        <v>75</v>
      </c>
      <c r="J83" s="381" t="s">
        <v>896</v>
      </c>
      <c r="K83" s="344">
        <f t="shared" si="35"/>
        <v>6186</v>
      </c>
      <c r="L83" s="344">
        <f>4661+590</f>
        <v>5251</v>
      </c>
      <c r="M83" s="345">
        <v>735</v>
      </c>
      <c r="N83" s="345">
        <v>200</v>
      </c>
      <c r="O83" s="346">
        <v>5251</v>
      </c>
      <c r="P83" s="346">
        <v>4661</v>
      </c>
      <c r="Q83" s="347">
        <v>590</v>
      </c>
      <c r="R83" s="348">
        <v>1</v>
      </c>
      <c r="S83" s="348" t="e">
        <f>R83*#REF!</f>
        <v>#REF!</v>
      </c>
      <c r="T83" s="348"/>
      <c r="U83" s="348"/>
      <c r="V83" s="348"/>
      <c r="W83" s="348"/>
      <c r="X83" s="348" t="e">
        <f>#REF!-#REF!</f>
        <v>#REF!</v>
      </c>
      <c r="Y83" s="338"/>
    </row>
    <row r="84" spans="1:25" s="202" customFormat="1" ht="102.95" customHeight="1" x14ac:dyDescent="0.2">
      <c r="A84" s="443"/>
      <c r="B84" s="339" t="s">
        <v>897</v>
      </c>
      <c r="C84" s="437">
        <v>1</v>
      </c>
      <c r="D84" s="438" t="s">
        <v>893</v>
      </c>
      <c r="E84" s="342" t="s">
        <v>735</v>
      </c>
      <c r="F84" s="381" t="s">
        <v>768</v>
      </c>
      <c r="G84" s="383">
        <v>7971251</v>
      </c>
      <c r="H84" s="382" t="s">
        <v>898</v>
      </c>
      <c r="I84" s="381" t="s">
        <v>75</v>
      </c>
      <c r="J84" s="381" t="s">
        <v>899</v>
      </c>
      <c r="K84" s="344">
        <f t="shared" si="35"/>
        <v>6810</v>
      </c>
      <c r="L84" s="344">
        <v>5047</v>
      </c>
      <c r="M84" s="345">
        <v>1563</v>
      </c>
      <c r="N84" s="345">
        <v>200</v>
      </c>
      <c r="O84" s="346">
        <v>5047</v>
      </c>
      <c r="P84" s="346">
        <v>4767</v>
      </c>
      <c r="Q84" s="347">
        <v>280</v>
      </c>
      <c r="R84" s="348">
        <v>1</v>
      </c>
      <c r="S84" s="348" t="e">
        <f>R84*#REF!</f>
        <v>#REF!</v>
      </c>
      <c r="T84" s="348"/>
      <c r="U84" s="348"/>
      <c r="V84" s="348"/>
      <c r="W84" s="348"/>
      <c r="X84" s="348" t="e">
        <f>#REF!-#REF!</f>
        <v>#REF!</v>
      </c>
      <c r="Y84" s="338"/>
    </row>
    <row r="85" spans="1:25" s="206" customFormat="1" x14ac:dyDescent="0.2">
      <c r="A85" s="440" t="s">
        <v>900</v>
      </c>
      <c r="B85" s="441" t="s">
        <v>901</v>
      </c>
      <c r="C85" s="424" t="e">
        <f>#REF!+C86</f>
        <v>#REF!</v>
      </c>
      <c r="D85" s="435"/>
      <c r="E85" s="426"/>
      <c r="F85" s="425"/>
      <c r="G85" s="427"/>
      <c r="H85" s="413"/>
      <c r="I85" s="436"/>
      <c r="J85" s="412"/>
      <c r="K85" s="436">
        <f>K86</f>
        <v>3783</v>
      </c>
      <c r="L85" s="436">
        <f t="shared" ref="L85:Q85" si="37">L86</f>
        <v>2954</v>
      </c>
      <c r="M85" s="436">
        <f t="shared" si="37"/>
        <v>629</v>
      </c>
      <c r="N85" s="436">
        <f t="shared" si="37"/>
        <v>200</v>
      </c>
      <c r="O85" s="436">
        <f t="shared" si="37"/>
        <v>2954</v>
      </c>
      <c r="P85" s="436">
        <f t="shared" si="37"/>
        <v>0</v>
      </c>
      <c r="Q85" s="436">
        <f t="shared" si="37"/>
        <v>2954</v>
      </c>
      <c r="R85" s="413" t="e">
        <f>#REF!+R86</f>
        <v>#REF!</v>
      </c>
      <c r="S85" s="413" t="e">
        <f>#REF!+S86</f>
        <v>#REF!</v>
      </c>
      <c r="T85" s="413" t="e">
        <f>#REF!+T86</f>
        <v>#REF!</v>
      </c>
      <c r="U85" s="413" t="e">
        <f>#REF!+U86</f>
        <v>#REF!</v>
      </c>
      <c r="V85" s="413" t="e">
        <f>#REF!+V86</f>
        <v>#REF!</v>
      </c>
      <c r="W85" s="413" t="e">
        <f>#REF!+W86</f>
        <v>#REF!</v>
      </c>
      <c r="X85" s="413">
        <v>2954</v>
      </c>
      <c r="Y85" s="442"/>
    </row>
    <row r="86" spans="1:25" s="202" customFormat="1" ht="48.95" customHeight="1" x14ac:dyDescent="0.2">
      <c r="A86" s="443"/>
      <c r="B86" s="339" t="s">
        <v>902</v>
      </c>
      <c r="C86" s="437">
        <v>1</v>
      </c>
      <c r="D86" s="438" t="s">
        <v>901</v>
      </c>
      <c r="E86" s="342" t="s">
        <v>735</v>
      </c>
      <c r="F86" s="381" t="s">
        <v>768</v>
      </c>
      <c r="G86" s="359"/>
      <c r="H86" s="382" t="s">
        <v>887</v>
      </c>
      <c r="I86" s="381" t="s">
        <v>537</v>
      </c>
      <c r="J86" s="381" t="s">
        <v>903</v>
      </c>
      <c r="K86" s="344">
        <v>3783</v>
      </c>
      <c r="L86" s="344">
        <v>2954</v>
      </c>
      <c r="M86" s="345">
        <f>K86-L86-N86</f>
        <v>629</v>
      </c>
      <c r="N86" s="345">
        <v>200</v>
      </c>
      <c r="O86" s="346">
        <v>2954</v>
      </c>
      <c r="P86" s="346">
        <v>0</v>
      </c>
      <c r="Q86" s="347">
        <v>2954</v>
      </c>
      <c r="R86" s="348"/>
      <c r="S86" s="348"/>
      <c r="T86" s="348"/>
      <c r="U86" s="348"/>
      <c r="V86" s="348"/>
      <c r="W86" s="348"/>
      <c r="X86" s="348" t="e">
        <f>#REF!-#REF!</f>
        <v>#REF!</v>
      </c>
      <c r="Y86" s="338"/>
    </row>
    <row r="87" spans="1:25" s="206" customFormat="1" x14ac:dyDescent="0.2">
      <c r="A87" s="440" t="s">
        <v>904</v>
      </c>
      <c r="B87" s="441" t="s">
        <v>905</v>
      </c>
      <c r="C87" s="424" t="e">
        <f>#REF!+C88</f>
        <v>#REF!</v>
      </c>
      <c r="D87" s="435"/>
      <c r="E87" s="426"/>
      <c r="F87" s="425"/>
      <c r="G87" s="427"/>
      <c r="H87" s="413"/>
      <c r="I87" s="436"/>
      <c r="J87" s="412"/>
      <c r="K87" s="436">
        <f>K88</f>
        <v>6048</v>
      </c>
      <c r="L87" s="436">
        <f t="shared" ref="L87:X87" si="38">L88</f>
        <v>5518</v>
      </c>
      <c r="M87" s="436">
        <f t="shared" si="38"/>
        <v>330</v>
      </c>
      <c r="N87" s="436">
        <f t="shared" si="38"/>
        <v>200</v>
      </c>
      <c r="O87" s="436">
        <f t="shared" si="38"/>
        <v>5518</v>
      </c>
      <c r="P87" s="436">
        <f t="shared" si="38"/>
        <v>4647</v>
      </c>
      <c r="Q87" s="436">
        <f t="shared" si="38"/>
        <v>871</v>
      </c>
      <c r="R87" s="436">
        <f t="shared" si="38"/>
        <v>0</v>
      </c>
      <c r="S87" s="436">
        <f t="shared" si="38"/>
        <v>0</v>
      </c>
      <c r="T87" s="436">
        <f t="shared" si="38"/>
        <v>1</v>
      </c>
      <c r="U87" s="436" t="e">
        <f t="shared" si="38"/>
        <v>#REF!</v>
      </c>
      <c r="V87" s="436">
        <f t="shared" si="38"/>
        <v>0</v>
      </c>
      <c r="W87" s="436">
        <f t="shared" si="38"/>
        <v>0</v>
      </c>
      <c r="X87" s="436" t="e">
        <f t="shared" si="38"/>
        <v>#REF!</v>
      </c>
      <c r="Y87" s="442"/>
    </row>
    <row r="88" spans="1:25" s="202" customFormat="1" ht="104.45" customHeight="1" x14ac:dyDescent="0.2">
      <c r="A88" s="443"/>
      <c r="B88" s="339" t="s">
        <v>906</v>
      </c>
      <c r="C88" s="437">
        <v>1</v>
      </c>
      <c r="D88" s="438" t="s">
        <v>905</v>
      </c>
      <c r="E88" s="342" t="s">
        <v>735</v>
      </c>
      <c r="F88" s="381" t="s">
        <v>768</v>
      </c>
      <c r="G88" s="383">
        <v>7971211</v>
      </c>
      <c r="H88" s="382" t="s">
        <v>907</v>
      </c>
      <c r="I88" s="381" t="s">
        <v>75</v>
      </c>
      <c r="J88" s="381" t="s">
        <v>908</v>
      </c>
      <c r="K88" s="344">
        <v>6048</v>
      </c>
      <c r="L88" s="344">
        <v>5518</v>
      </c>
      <c r="M88" s="345">
        <v>330</v>
      </c>
      <c r="N88" s="345">
        <v>200</v>
      </c>
      <c r="O88" s="346">
        <v>5518</v>
      </c>
      <c r="P88" s="346">
        <v>4647</v>
      </c>
      <c r="Q88" s="347">
        <v>871</v>
      </c>
      <c r="R88" s="348"/>
      <c r="S88" s="348"/>
      <c r="T88" s="348">
        <v>1</v>
      </c>
      <c r="U88" s="348" t="e">
        <f>T88*#REF!</f>
        <v>#REF!</v>
      </c>
      <c r="V88" s="348"/>
      <c r="W88" s="348"/>
      <c r="X88" s="348" t="e">
        <f>#REF!-#REF!</f>
        <v>#REF!</v>
      </c>
      <c r="Y88" s="338"/>
    </row>
    <row r="89" spans="1:25" s="206" customFormat="1" x14ac:dyDescent="0.2">
      <c r="A89" s="440"/>
      <c r="B89" s="339"/>
      <c r="C89" s="340"/>
      <c r="D89" s="438"/>
      <c r="E89" s="342"/>
      <c r="F89" s="341"/>
      <c r="G89" s="427"/>
      <c r="H89" s="382"/>
      <c r="I89" s="381"/>
      <c r="J89" s="381"/>
      <c r="K89" s="344"/>
      <c r="L89" s="436"/>
      <c r="M89" s="413"/>
      <c r="N89" s="413"/>
      <c r="O89" s="360"/>
      <c r="P89" s="360"/>
      <c r="Q89" s="442"/>
      <c r="R89" s="348"/>
      <c r="S89" s="348"/>
      <c r="T89" s="348"/>
      <c r="U89" s="348"/>
      <c r="V89" s="348"/>
      <c r="W89" s="348"/>
      <c r="X89" s="348"/>
      <c r="Y89" s="442"/>
    </row>
    <row r="90" spans="1:25" s="204" customFormat="1" ht="16.5" customHeight="1" x14ac:dyDescent="0.2">
      <c r="A90" s="433">
        <v>6</v>
      </c>
      <c r="B90" s="434" t="s">
        <v>909</v>
      </c>
      <c r="C90" s="415" t="e">
        <f>C91+C93+C95+C98</f>
        <v>#REF!</v>
      </c>
      <c r="D90" s="416"/>
      <c r="E90" s="417"/>
      <c r="F90" s="416"/>
      <c r="G90" s="418"/>
      <c r="H90" s="419"/>
      <c r="I90" s="420"/>
      <c r="J90" s="420"/>
      <c r="K90" s="420">
        <f>K91+K93+K95+K98</f>
        <v>11821</v>
      </c>
      <c r="L90" s="420">
        <f>L91+L93+L95+L98</f>
        <v>3804</v>
      </c>
      <c r="M90" s="420">
        <f t="shared" ref="M90:X90" si="39">M91+M93+M95+M98</f>
        <v>6876</v>
      </c>
      <c r="N90" s="420">
        <f t="shared" si="39"/>
        <v>1141</v>
      </c>
      <c r="O90" s="420">
        <f t="shared" si="39"/>
        <v>3804</v>
      </c>
      <c r="P90" s="420">
        <f t="shared" si="39"/>
        <v>0</v>
      </c>
      <c r="Q90" s="420">
        <f t="shared" si="39"/>
        <v>2804</v>
      </c>
      <c r="R90" s="419" t="e">
        <f t="shared" si="39"/>
        <v>#REF!</v>
      </c>
      <c r="S90" s="419" t="e">
        <f t="shared" si="39"/>
        <v>#REF!</v>
      </c>
      <c r="T90" s="419" t="e">
        <f t="shared" si="39"/>
        <v>#REF!</v>
      </c>
      <c r="U90" s="419" t="e">
        <f t="shared" si="39"/>
        <v>#REF!</v>
      </c>
      <c r="V90" s="419" t="e">
        <f t="shared" si="39"/>
        <v>#REF!</v>
      </c>
      <c r="W90" s="419" t="e">
        <f t="shared" si="39"/>
        <v>#REF!</v>
      </c>
      <c r="X90" s="419">
        <f t="shared" si="39"/>
        <v>4947</v>
      </c>
      <c r="Y90" s="444"/>
    </row>
    <row r="91" spans="1:25" s="205" customFormat="1" x14ac:dyDescent="0.2">
      <c r="A91" s="422" t="s">
        <v>910</v>
      </c>
      <c r="B91" s="423" t="s">
        <v>911</v>
      </c>
      <c r="C91" s="424" t="e">
        <f>#REF!</f>
        <v>#REF!</v>
      </c>
      <c r="D91" s="425"/>
      <c r="E91" s="426"/>
      <c r="F91" s="425"/>
      <c r="G91" s="427"/>
      <c r="H91" s="413"/>
      <c r="I91" s="412"/>
      <c r="J91" s="412"/>
      <c r="K91" s="412">
        <f>K92</f>
        <v>580</v>
      </c>
      <c r="L91" s="412">
        <f t="shared" ref="L91:Q91" si="40">L92</f>
        <v>290</v>
      </c>
      <c r="M91" s="412">
        <f t="shared" si="40"/>
        <v>0</v>
      </c>
      <c r="N91" s="412">
        <f t="shared" si="40"/>
        <v>290</v>
      </c>
      <c r="O91" s="412">
        <f t="shared" si="40"/>
        <v>290</v>
      </c>
      <c r="P91" s="412">
        <f t="shared" si="40"/>
        <v>0</v>
      </c>
      <c r="Q91" s="412">
        <f t="shared" si="40"/>
        <v>290</v>
      </c>
      <c r="R91" s="413" t="e">
        <f>#REF!</f>
        <v>#REF!</v>
      </c>
      <c r="S91" s="413" t="e">
        <f>#REF!</f>
        <v>#REF!</v>
      </c>
      <c r="T91" s="413" t="e">
        <f>#REF!</f>
        <v>#REF!</v>
      </c>
      <c r="U91" s="413" t="e">
        <f>#REF!</f>
        <v>#REF!</v>
      </c>
      <c r="V91" s="413" t="e">
        <f>#REF!</f>
        <v>#REF!</v>
      </c>
      <c r="W91" s="413" t="e">
        <f>#REF!</f>
        <v>#REF!</v>
      </c>
      <c r="X91" s="413">
        <v>768</v>
      </c>
      <c r="Y91" s="432"/>
    </row>
    <row r="92" spans="1:25" s="197" customFormat="1" ht="62.1" customHeight="1" x14ac:dyDescent="0.2">
      <c r="A92" s="338"/>
      <c r="B92" s="339" t="s">
        <v>912</v>
      </c>
      <c r="C92" s="343"/>
      <c r="D92" s="341" t="s">
        <v>911</v>
      </c>
      <c r="E92" s="341" t="s">
        <v>913</v>
      </c>
      <c r="F92" s="381" t="s">
        <v>768</v>
      </c>
      <c r="G92" s="342"/>
      <c r="H92" s="382" t="s">
        <v>914</v>
      </c>
      <c r="I92" s="381" t="s">
        <v>284</v>
      </c>
      <c r="J92" s="343" t="s">
        <v>915</v>
      </c>
      <c r="K92" s="346">
        <f t="shared" ref="K92:K99" si="41">L92+M92+N92</f>
        <v>580</v>
      </c>
      <c r="L92" s="346">
        <v>290</v>
      </c>
      <c r="M92" s="345"/>
      <c r="N92" s="345">
        <v>290</v>
      </c>
      <c r="O92" s="346">
        <v>290</v>
      </c>
      <c r="P92" s="346">
        <v>0</v>
      </c>
      <c r="Q92" s="360">
        <v>290</v>
      </c>
      <c r="R92" s="360"/>
      <c r="S92" s="360"/>
      <c r="T92" s="360"/>
      <c r="U92" s="360"/>
      <c r="V92" s="360"/>
      <c r="W92" s="360"/>
      <c r="X92" s="360"/>
      <c r="Y92" s="338"/>
    </row>
    <row r="93" spans="1:25" s="206" customFormat="1" x14ac:dyDescent="0.2">
      <c r="A93" s="440" t="s">
        <v>916</v>
      </c>
      <c r="B93" s="441" t="s">
        <v>917</v>
      </c>
      <c r="C93" s="424" t="e">
        <f>#REF!+#REF!</f>
        <v>#REF!</v>
      </c>
      <c r="D93" s="435"/>
      <c r="E93" s="426"/>
      <c r="F93" s="425"/>
      <c r="G93" s="427"/>
      <c r="H93" s="413"/>
      <c r="I93" s="436"/>
      <c r="J93" s="412"/>
      <c r="K93" s="436">
        <f>K94</f>
        <v>4351</v>
      </c>
      <c r="L93" s="436">
        <f t="shared" ref="L93:Q93" si="42">L94</f>
        <v>291</v>
      </c>
      <c r="M93" s="413">
        <f t="shared" si="42"/>
        <v>3769</v>
      </c>
      <c r="N93" s="413">
        <f t="shared" si="42"/>
        <v>291</v>
      </c>
      <c r="O93" s="436">
        <f t="shared" si="42"/>
        <v>291</v>
      </c>
      <c r="P93" s="436">
        <f t="shared" si="42"/>
        <v>0</v>
      </c>
      <c r="Q93" s="436">
        <f t="shared" si="42"/>
        <v>291</v>
      </c>
      <c r="R93" s="413" t="e">
        <f>#REF!+#REF!</f>
        <v>#REF!</v>
      </c>
      <c r="S93" s="413" t="e">
        <f>#REF!+#REF!</f>
        <v>#REF!</v>
      </c>
      <c r="T93" s="413" t="e">
        <f>#REF!+#REF!</f>
        <v>#REF!</v>
      </c>
      <c r="U93" s="413" t="e">
        <f>#REF!+#REF!</f>
        <v>#REF!</v>
      </c>
      <c r="V93" s="413" t="e">
        <f>#REF!+#REF!</f>
        <v>#REF!</v>
      </c>
      <c r="W93" s="413" t="e">
        <f>#REF!+#REF!</f>
        <v>#REF!</v>
      </c>
      <c r="X93" s="413">
        <v>1268</v>
      </c>
      <c r="Y93" s="442"/>
    </row>
    <row r="94" spans="1:25" s="197" customFormat="1" ht="38.450000000000003" customHeight="1" x14ac:dyDescent="0.2">
      <c r="A94" s="338"/>
      <c r="B94" s="339" t="s">
        <v>918</v>
      </c>
      <c r="C94" s="343"/>
      <c r="D94" s="341" t="s">
        <v>917</v>
      </c>
      <c r="E94" s="341" t="s">
        <v>913</v>
      </c>
      <c r="F94" s="381" t="s">
        <v>768</v>
      </c>
      <c r="G94" s="342"/>
      <c r="H94" s="382" t="s">
        <v>919</v>
      </c>
      <c r="I94" s="381" t="s">
        <v>284</v>
      </c>
      <c r="J94" s="343" t="s">
        <v>920</v>
      </c>
      <c r="K94" s="346">
        <f t="shared" si="41"/>
        <v>4351</v>
      </c>
      <c r="L94" s="346">
        <v>291</v>
      </c>
      <c r="M94" s="345">
        <v>3769</v>
      </c>
      <c r="N94" s="345">
        <v>291</v>
      </c>
      <c r="O94" s="346">
        <v>291</v>
      </c>
      <c r="P94" s="346">
        <v>0</v>
      </c>
      <c r="Q94" s="360">
        <v>291</v>
      </c>
      <c r="R94" s="360"/>
      <c r="S94" s="360"/>
      <c r="T94" s="360"/>
      <c r="U94" s="360"/>
      <c r="V94" s="360"/>
      <c r="W94" s="360"/>
      <c r="X94" s="360"/>
      <c r="Y94" s="338"/>
    </row>
    <row r="95" spans="1:25" s="206" customFormat="1" ht="24.6" customHeight="1" x14ac:dyDescent="0.2">
      <c r="A95" s="440" t="s">
        <v>921</v>
      </c>
      <c r="B95" s="441" t="s">
        <v>922</v>
      </c>
      <c r="C95" s="424" t="e">
        <f>#REF!+C96</f>
        <v>#REF!</v>
      </c>
      <c r="D95" s="435"/>
      <c r="E95" s="426"/>
      <c r="F95" s="425"/>
      <c r="G95" s="427"/>
      <c r="H95" s="413"/>
      <c r="I95" s="436"/>
      <c r="J95" s="412"/>
      <c r="K95" s="436">
        <f>K96+K97</f>
        <v>6300</v>
      </c>
      <c r="L95" s="436">
        <f t="shared" ref="L95:Q95" si="43">L96+L97</f>
        <v>2933</v>
      </c>
      <c r="M95" s="413">
        <f t="shared" si="43"/>
        <v>3107</v>
      </c>
      <c r="N95" s="413">
        <f t="shared" si="43"/>
        <v>260</v>
      </c>
      <c r="O95" s="436">
        <f t="shared" si="43"/>
        <v>2933</v>
      </c>
      <c r="P95" s="436">
        <f t="shared" si="43"/>
        <v>0</v>
      </c>
      <c r="Q95" s="436">
        <f t="shared" si="43"/>
        <v>1933</v>
      </c>
      <c r="R95" s="413" t="e">
        <f>#REF!+R96</f>
        <v>#REF!</v>
      </c>
      <c r="S95" s="413" t="e">
        <f>#REF!+S96</f>
        <v>#REF!</v>
      </c>
      <c r="T95" s="413" t="e">
        <f>#REF!+T96</f>
        <v>#REF!</v>
      </c>
      <c r="U95" s="413" t="e">
        <f>#REF!+U96</f>
        <v>#REF!</v>
      </c>
      <c r="V95" s="413" t="e">
        <f>#REF!+V96</f>
        <v>#REF!</v>
      </c>
      <c r="W95" s="413" t="e">
        <f>#REF!+W96</f>
        <v>#REF!</v>
      </c>
      <c r="X95" s="413">
        <v>1643</v>
      </c>
      <c r="Y95" s="442"/>
    </row>
    <row r="96" spans="1:25" s="205" customFormat="1" ht="49.5" customHeight="1" x14ac:dyDescent="0.2">
      <c r="A96" s="422"/>
      <c r="B96" s="339" t="s">
        <v>923</v>
      </c>
      <c r="C96" s="437">
        <v>1</v>
      </c>
      <c r="D96" s="341" t="s">
        <v>922</v>
      </c>
      <c r="E96" s="342" t="s">
        <v>913</v>
      </c>
      <c r="F96" s="381" t="s">
        <v>768</v>
      </c>
      <c r="G96" s="427"/>
      <c r="H96" s="382" t="s">
        <v>924</v>
      </c>
      <c r="I96" s="381" t="s">
        <v>925</v>
      </c>
      <c r="J96" s="381" t="s">
        <v>926</v>
      </c>
      <c r="K96" s="346">
        <f t="shared" si="41"/>
        <v>2500</v>
      </c>
      <c r="L96" s="346">
        <v>1643</v>
      </c>
      <c r="M96" s="345">
        <v>797</v>
      </c>
      <c r="N96" s="345">
        <v>60</v>
      </c>
      <c r="O96" s="346">
        <v>1643</v>
      </c>
      <c r="P96" s="346">
        <v>0</v>
      </c>
      <c r="Q96" s="398">
        <v>643</v>
      </c>
      <c r="R96" s="348"/>
      <c r="S96" s="348"/>
      <c r="T96" s="348"/>
      <c r="U96" s="348"/>
      <c r="V96" s="348"/>
      <c r="W96" s="348"/>
      <c r="X96" s="348" t="e">
        <f>#REF!-#REF!</f>
        <v>#REF!</v>
      </c>
      <c r="Y96" s="350"/>
    </row>
    <row r="97" spans="1:25" s="197" customFormat="1" ht="39" customHeight="1" x14ac:dyDescent="0.2">
      <c r="A97" s="338"/>
      <c r="B97" s="339" t="s">
        <v>927</v>
      </c>
      <c r="C97" s="343"/>
      <c r="D97" s="341" t="s">
        <v>922</v>
      </c>
      <c r="E97" s="341" t="s">
        <v>913</v>
      </c>
      <c r="F97" s="381" t="s">
        <v>768</v>
      </c>
      <c r="G97" s="342"/>
      <c r="H97" s="382" t="s">
        <v>928</v>
      </c>
      <c r="I97" s="381" t="s">
        <v>284</v>
      </c>
      <c r="J97" s="343" t="s">
        <v>929</v>
      </c>
      <c r="K97" s="346">
        <f t="shared" si="41"/>
        <v>3800</v>
      </c>
      <c r="L97" s="360">
        <v>1290</v>
      </c>
      <c r="M97" s="348">
        <v>2310</v>
      </c>
      <c r="N97" s="348">
        <f>2*100</f>
        <v>200</v>
      </c>
      <c r="O97" s="346">
        <v>1290</v>
      </c>
      <c r="P97" s="346">
        <v>0</v>
      </c>
      <c r="Q97" s="360">
        <v>1290</v>
      </c>
      <c r="R97" s="360"/>
      <c r="S97" s="360"/>
      <c r="T97" s="360"/>
      <c r="U97" s="360"/>
      <c r="V97" s="360"/>
      <c r="W97" s="360"/>
      <c r="X97" s="360"/>
      <c r="Y97" s="350"/>
    </row>
    <row r="98" spans="1:25" s="206" customFormat="1" ht="24.6" customHeight="1" x14ac:dyDescent="0.2">
      <c r="A98" s="440" t="s">
        <v>930</v>
      </c>
      <c r="B98" s="442" t="s">
        <v>931</v>
      </c>
      <c r="C98" s="424" t="e">
        <f>#REF!</f>
        <v>#REF!</v>
      </c>
      <c r="D98" s="442"/>
      <c r="E98" s="445"/>
      <c r="F98" s="442"/>
      <c r="G98" s="445"/>
      <c r="H98" s="413"/>
      <c r="I98" s="436"/>
      <c r="J98" s="412"/>
      <c r="K98" s="436">
        <f>K99</f>
        <v>590</v>
      </c>
      <c r="L98" s="436">
        <f t="shared" ref="L98:Q98" si="44">L99</f>
        <v>290</v>
      </c>
      <c r="M98" s="413">
        <f t="shared" si="44"/>
        <v>0</v>
      </c>
      <c r="N98" s="413">
        <f t="shared" si="44"/>
        <v>300</v>
      </c>
      <c r="O98" s="436">
        <f t="shared" si="44"/>
        <v>290</v>
      </c>
      <c r="P98" s="436">
        <f t="shared" si="44"/>
        <v>0</v>
      </c>
      <c r="Q98" s="436">
        <f t="shared" si="44"/>
        <v>290</v>
      </c>
      <c r="R98" s="413" t="e">
        <f>#REF!</f>
        <v>#REF!</v>
      </c>
      <c r="S98" s="413" t="e">
        <f>#REF!</f>
        <v>#REF!</v>
      </c>
      <c r="T98" s="413" t="e">
        <f>#REF!</f>
        <v>#REF!</v>
      </c>
      <c r="U98" s="413" t="e">
        <f>#REF!</f>
        <v>#REF!</v>
      </c>
      <c r="V98" s="413" t="e">
        <f>#REF!</f>
        <v>#REF!</v>
      </c>
      <c r="W98" s="413" t="e">
        <f>#REF!</f>
        <v>#REF!</v>
      </c>
      <c r="X98" s="413">
        <v>1268</v>
      </c>
      <c r="Y98" s="442"/>
    </row>
    <row r="99" spans="1:25" s="197" customFormat="1" ht="41.1" customHeight="1" x14ac:dyDescent="0.2">
      <c r="A99" s="338"/>
      <c r="B99" s="339" t="s">
        <v>932</v>
      </c>
      <c r="C99" s="343"/>
      <c r="D99" s="341" t="s">
        <v>931</v>
      </c>
      <c r="E99" s="341" t="s">
        <v>913</v>
      </c>
      <c r="F99" s="381" t="s">
        <v>768</v>
      </c>
      <c r="G99" s="342"/>
      <c r="H99" s="446" t="s">
        <v>933</v>
      </c>
      <c r="I99" s="447" t="s">
        <v>284</v>
      </c>
      <c r="J99" s="343" t="s">
        <v>934</v>
      </c>
      <c r="K99" s="346">
        <f t="shared" si="41"/>
        <v>590</v>
      </c>
      <c r="L99" s="346">
        <v>290</v>
      </c>
      <c r="M99" s="345"/>
      <c r="N99" s="345">
        <v>300</v>
      </c>
      <c r="O99" s="346">
        <v>290</v>
      </c>
      <c r="P99" s="346">
        <v>0</v>
      </c>
      <c r="Q99" s="360">
        <v>290</v>
      </c>
      <c r="R99" s="360"/>
      <c r="S99" s="360"/>
      <c r="T99" s="360"/>
      <c r="U99" s="360"/>
      <c r="V99" s="360"/>
      <c r="W99" s="360"/>
      <c r="X99" s="360"/>
      <c r="Y99" s="338"/>
    </row>
    <row r="100" spans="1:25" x14ac:dyDescent="0.25">
      <c r="A100" s="448"/>
      <c r="B100" s="449"/>
      <c r="C100" s="450"/>
      <c r="D100" s="449"/>
      <c r="E100" s="451"/>
      <c r="F100" s="449"/>
      <c r="G100" s="451"/>
      <c r="H100" s="452"/>
      <c r="I100" s="453"/>
      <c r="J100" s="454"/>
      <c r="K100" s="455"/>
      <c r="L100" s="455"/>
      <c r="M100" s="456"/>
      <c r="N100" s="456"/>
      <c r="O100" s="457"/>
      <c r="P100" s="457"/>
      <c r="Q100" s="458"/>
      <c r="R100" s="451"/>
      <c r="S100" s="451"/>
      <c r="T100" s="451"/>
      <c r="U100" s="451"/>
      <c r="V100" s="451"/>
      <c r="W100" s="451"/>
      <c r="X100" s="451"/>
      <c r="Y100" s="449"/>
    </row>
    <row r="101" spans="1:25" s="204" customFormat="1" ht="25.5" customHeight="1" x14ac:dyDescent="0.2">
      <c r="A101" s="433">
        <v>7</v>
      </c>
      <c r="B101" s="434" t="s">
        <v>935</v>
      </c>
      <c r="C101" s="415" t="e">
        <f>C102+C104+#REF!+C106+#REF!+#REF!+#REF!</f>
        <v>#REF!</v>
      </c>
      <c r="D101" s="416"/>
      <c r="E101" s="417"/>
      <c r="F101" s="416"/>
      <c r="G101" s="418"/>
      <c r="H101" s="419"/>
      <c r="I101" s="420"/>
      <c r="J101" s="420"/>
      <c r="K101" s="420">
        <f>K102+K104+K106</f>
        <v>11576</v>
      </c>
      <c r="L101" s="420">
        <f t="shared" ref="L101:Q101" si="45">L102+L104+L106</f>
        <v>9662</v>
      </c>
      <c r="M101" s="420">
        <f t="shared" si="45"/>
        <v>1020</v>
      </c>
      <c r="N101" s="420">
        <f t="shared" si="45"/>
        <v>894</v>
      </c>
      <c r="O101" s="420">
        <f t="shared" si="45"/>
        <v>9662</v>
      </c>
      <c r="P101" s="420">
        <f t="shared" si="45"/>
        <v>5876</v>
      </c>
      <c r="Q101" s="420">
        <f t="shared" si="45"/>
        <v>3786</v>
      </c>
      <c r="R101" s="419" t="e">
        <f>R102+R104+#REF!+R106+#REF!+#REF!+#REF!</f>
        <v>#REF!</v>
      </c>
      <c r="S101" s="419" t="e">
        <f>S102+S104+#REF!+S106+#REF!+#REF!+#REF!</f>
        <v>#REF!</v>
      </c>
      <c r="T101" s="419" t="e">
        <f>T102+T104+#REF!+T106+#REF!+#REF!+#REF!</f>
        <v>#REF!</v>
      </c>
      <c r="U101" s="419" t="e">
        <f>U102+U104+#REF!+U106+#REF!+#REF!+#REF!</f>
        <v>#REF!</v>
      </c>
      <c r="V101" s="419" t="e">
        <f>V102+V104+#REF!+V106+#REF!+#REF!+#REF!</f>
        <v>#REF!</v>
      </c>
      <c r="W101" s="419" t="e">
        <f>W102+W104+#REF!+W106+#REF!+#REF!+#REF!</f>
        <v>#REF!</v>
      </c>
      <c r="X101" s="419" t="e">
        <f>X102+X104+#REF!+X106+#REF!+#REF!+#REF!</f>
        <v>#REF!</v>
      </c>
      <c r="Y101" s="421"/>
    </row>
    <row r="102" spans="1:25" s="206" customFormat="1" x14ac:dyDescent="0.2">
      <c r="A102" s="440" t="s">
        <v>936</v>
      </c>
      <c r="B102" s="442" t="s">
        <v>937</v>
      </c>
      <c r="C102" s="424">
        <f t="shared" ref="C102" si="46">C103</f>
        <v>1</v>
      </c>
      <c r="D102" s="442"/>
      <c r="E102" s="445"/>
      <c r="F102" s="442"/>
      <c r="G102" s="445"/>
      <c r="H102" s="413"/>
      <c r="I102" s="436"/>
      <c r="J102" s="412"/>
      <c r="K102" s="436">
        <f t="shared" ref="K102:X102" si="47">K103</f>
        <v>5544</v>
      </c>
      <c r="L102" s="436">
        <f t="shared" si="47"/>
        <v>4021</v>
      </c>
      <c r="M102" s="436">
        <f t="shared" si="47"/>
        <v>1020</v>
      </c>
      <c r="N102" s="436">
        <f t="shared" si="47"/>
        <v>503</v>
      </c>
      <c r="O102" s="436">
        <f t="shared" si="47"/>
        <v>4021</v>
      </c>
      <c r="P102" s="436">
        <f t="shared" si="47"/>
        <v>2563</v>
      </c>
      <c r="Q102" s="436">
        <f t="shared" si="47"/>
        <v>1458</v>
      </c>
      <c r="R102" s="413">
        <f t="shared" si="47"/>
        <v>0</v>
      </c>
      <c r="S102" s="413">
        <f t="shared" si="47"/>
        <v>0</v>
      </c>
      <c r="T102" s="413">
        <f t="shared" si="47"/>
        <v>1</v>
      </c>
      <c r="U102" s="413" t="e">
        <f t="shared" si="47"/>
        <v>#REF!</v>
      </c>
      <c r="V102" s="413">
        <f t="shared" si="47"/>
        <v>0</v>
      </c>
      <c r="W102" s="413">
        <f t="shared" si="47"/>
        <v>0</v>
      </c>
      <c r="X102" s="413" t="e">
        <f t="shared" si="47"/>
        <v>#REF!</v>
      </c>
      <c r="Y102" s="442"/>
    </row>
    <row r="103" spans="1:25" s="206" customFormat="1" ht="63" customHeight="1" x14ac:dyDescent="0.2">
      <c r="A103" s="440"/>
      <c r="B103" s="339" t="s">
        <v>938</v>
      </c>
      <c r="C103" s="437">
        <v>1</v>
      </c>
      <c r="D103" s="438" t="s">
        <v>937</v>
      </c>
      <c r="E103" s="342" t="s">
        <v>939</v>
      </c>
      <c r="F103" s="381" t="s">
        <v>768</v>
      </c>
      <c r="G103" s="342">
        <v>7970985</v>
      </c>
      <c r="H103" s="382" t="s">
        <v>940</v>
      </c>
      <c r="I103" s="381" t="s">
        <v>75</v>
      </c>
      <c r="J103" s="381" t="s">
        <v>941</v>
      </c>
      <c r="K103" s="344">
        <f t="shared" ref="K103:K105" si="48">L103+M103+N103</f>
        <v>5544</v>
      </c>
      <c r="L103" s="344">
        <f>3731+290</f>
        <v>4021</v>
      </c>
      <c r="M103" s="345">
        <f>1310-290</f>
        <v>1020</v>
      </c>
      <c r="N103" s="345">
        <v>503</v>
      </c>
      <c r="O103" s="346">
        <v>4021</v>
      </c>
      <c r="P103" s="346">
        <v>2563</v>
      </c>
      <c r="Q103" s="347">
        <v>1458</v>
      </c>
      <c r="R103" s="348"/>
      <c r="S103" s="348"/>
      <c r="T103" s="348">
        <v>1</v>
      </c>
      <c r="U103" s="348" t="e">
        <f>T103*#REF!</f>
        <v>#REF!</v>
      </c>
      <c r="V103" s="348"/>
      <c r="W103" s="348"/>
      <c r="X103" s="348" t="e">
        <f>#REF!-#REF!</f>
        <v>#REF!</v>
      </c>
      <c r="Y103" s="442"/>
    </row>
    <row r="104" spans="1:25" s="206" customFormat="1" x14ac:dyDescent="0.2">
      <c r="A104" s="440" t="s">
        <v>942</v>
      </c>
      <c r="B104" s="442" t="s">
        <v>943</v>
      </c>
      <c r="C104" s="424">
        <f>C105</f>
        <v>1</v>
      </c>
      <c r="D104" s="442"/>
      <c r="E104" s="445"/>
      <c r="F104" s="442"/>
      <c r="G104" s="445"/>
      <c r="H104" s="413"/>
      <c r="I104" s="436"/>
      <c r="J104" s="412"/>
      <c r="K104" s="436">
        <f t="shared" ref="K104:X104" si="49">K105</f>
        <v>4250</v>
      </c>
      <c r="L104" s="436">
        <f t="shared" si="49"/>
        <v>4021</v>
      </c>
      <c r="M104" s="413">
        <f t="shared" si="49"/>
        <v>0</v>
      </c>
      <c r="N104" s="413">
        <f t="shared" si="49"/>
        <v>229</v>
      </c>
      <c r="O104" s="436">
        <f t="shared" si="49"/>
        <v>4021</v>
      </c>
      <c r="P104" s="436">
        <f t="shared" si="49"/>
        <v>3313</v>
      </c>
      <c r="Q104" s="436">
        <f t="shared" si="49"/>
        <v>708</v>
      </c>
      <c r="R104" s="413">
        <f t="shared" si="49"/>
        <v>0</v>
      </c>
      <c r="S104" s="413">
        <f t="shared" si="49"/>
        <v>0</v>
      </c>
      <c r="T104" s="413">
        <f t="shared" si="49"/>
        <v>1</v>
      </c>
      <c r="U104" s="413" t="e">
        <f t="shared" si="49"/>
        <v>#REF!</v>
      </c>
      <c r="V104" s="413">
        <f t="shared" si="49"/>
        <v>0</v>
      </c>
      <c r="W104" s="413">
        <f t="shared" si="49"/>
        <v>0</v>
      </c>
      <c r="X104" s="413" t="e">
        <f t="shared" si="49"/>
        <v>#REF!</v>
      </c>
      <c r="Y104" s="442"/>
    </row>
    <row r="105" spans="1:25" s="206" customFormat="1" ht="80.45" customHeight="1" x14ac:dyDescent="0.2">
      <c r="A105" s="440"/>
      <c r="B105" s="339" t="s">
        <v>944</v>
      </c>
      <c r="C105" s="437">
        <v>1</v>
      </c>
      <c r="D105" s="438" t="s">
        <v>943</v>
      </c>
      <c r="E105" s="342" t="s">
        <v>939</v>
      </c>
      <c r="F105" s="381" t="s">
        <v>768</v>
      </c>
      <c r="G105" s="342">
        <v>7971215</v>
      </c>
      <c r="H105" s="382" t="s">
        <v>945</v>
      </c>
      <c r="I105" s="381" t="s">
        <v>75</v>
      </c>
      <c r="J105" s="381" t="s">
        <v>946</v>
      </c>
      <c r="K105" s="344">
        <f t="shared" si="48"/>
        <v>4250</v>
      </c>
      <c r="L105" s="344">
        <f>3731+290</f>
        <v>4021</v>
      </c>
      <c r="M105" s="345"/>
      <c r="N105" s="345">
        <v>229</v>
      </c>
      <c r="O105" s="346">
        <v>4021</v>
      </c>
      <c r="P105" s="346">
        <v>3313</v>
      </c>
      <c r="Q105" s="347">
        <v>708</v>
      </c>
      <c r="R105" s="348"/>
      <c r="S105" s="348"/>
      <c r="T105" s="348">
        <v>1</v>
      </c>
      <c r="U105" s="348" t="e">
        <f>T105*#REF!</f>
        <v>#REF!</v>
      </c>
      <c r="V105" s="348"/>
      <c r="W105" s="348"/>
      <c r="X105" s="348" t="e">
        <f>#REF!-#REF!</f>
        <v>#REF!</v>
      </c>
      <c r="Y105" s="459"/>
    </row>
    <row r="106" spans="1:25" s="206" customFormat="1" x14ac:dyDescent="0.2">
      <c r="A106" s="440" t="s">
        <v>947</v>
      </c>
      <c r="B106" s="442" t="s">
        <v>948</v>
      </c>
      <c r="C106" s="424" t="e">
        <f>#REF!+C107</f>
        <v>#REF!</v>
      </c>
      <c r="D106" s="442"/>
      <c r="E106" s="445"/>
      <c r="F106" s="442"/>
      <c r="G106" s="445"/>
      <c r="H106" s="413"/>
      <c r="I106" s="436"/>
      <c r="J106" s="412"/>
      <c r="K106" s="436">
        <f>K107</f>
        <v>1782</v>
      </c>
      <c r="L106" s="436">
        <f t="shared" ref="L106:Q106" si="50">L107</f>
        <v>1620</v>
      </c>
      <c r="M106" s="413">
        <f t="shared" si="50"/>
        <v>0</v>
      </c>
      <c r="N106" s="413">
        <f t="shared" si="50"/>
        <v>162</v>
      </c>
      <c r="O106" s="436">
        <f t="shared" si="50"/>
        <v>1620</v>
      </c>
      <c r="P106" s="436"/>
      <c r="Q106" s="436">
        <f t="shared" si="50"/>
        <v>1620</v>
      </c>
      <c r="R106" s="413" t="e">
        <f>#REF!+R107</f>
        <v>#REF!</v>
      </c>
      <c r="S106" s="413" t="e">
        <f>#REF!+S107</f>
        <v>#REF!</v>
      </c>
      <c r="T106" s="413" t="e">
        <f>#REF!+T107</f>
        <v>#REF!</v>
      </c>
      <c r="U106" s="413" t="e">
        <f>#REF!+U107</f>
        <v>#REF!</v>
      </c>
      <c r="V106" s="413" t="e">
        <f>#REF!+V107</f>
        <v>#REF!</v>
      </c>
      <c r="W106" s="413" t="e">
        <f>#REF!+W107</f>
        <v>#REF!</v>
      </c>
      <c r="X106" s="413" t="e">
        <f>#REF!+X107</f>
        <v>#REF!</v>
      </c>
      <c r="Y106" s="442"/>
    </row>
    <row r="107" spans="1:25" s="206" customFormat="1" ht="71.45" customHeight="1" x14ac:dyDescent="0.2">
      <c r="A107" s="440"/>
      <c r="B107" s="339" t="s">
        <v>949</v>
      </c>
      <c r="C107" s="437">
        <v>1</v>
      </c>
      <c r="D107" s="438" t="s">
        <v>948</v>
      </c>
      <c r="E107" s="342" t="s">
        <v>939</v>
      </c>
      <c r="F107" s="381" t="s">
        <v>768</v>
      </c>
      <c r="G107" s="445"/>
      <c r="H107" s="382" t="s">
        <v>950</v>
      </c>
      <c r="I107" s="381" t="s">
        <v>537</v>
      </c>
      <c r="J107" s="381" t="s">
        <v>951</v>
      </c>
      <c r="K107" s="344">
        <f t="shared" ref="K107" si="51">L107+M107+N107</f>
        <v>1782</v>
      </c>
      <c r="L107" s="344">
        <v>1620</v>
      </c>
      <c r="M107" s="345"/>
      <c r="N107" s="345">
        <v>162</v>
      </c>
      <c r="O107" s="346">
        <v>1620</v>
      </c>
      <c r="P107" s="346">
        <v>0</v>
      </c>
      <c r="Q107" s="347">
        <v>1620</v>
      </c>
      <c r="R107" s="348"/>
      <c r="S107" s="348"/>
      <c r="T107" s="348"/>
      <c r="U107" s="348"/>
      <c r="V107" s="348"/>
      <c r="W107" s="348"/>
      <c r="X107" s="348" t="e">
        <f>#REF!-#REF!</f>
        <v>#REF!</v>
      </c>
      <c r="Y107" s="442"/>
    </row>
    <row r="108" spans="1:25" s="201" customFormat="1" x14ac:dyDescent="0.2">
      <c r="A108" s="377"/>
      <c r="B108" s="377"/>
      <c r="C108" s="460"/>
      <c r="D108" s="377"/>
      <c r="E108" s="414"/>
      <c r="F108" s="377"/>
      <c r="G108" s="414"/>
      <c r="H108" s="345"/>
      <c r="I108" s="461"/>
      <c r="J108" s="412"/>
      <c r="K108" s="436"/>
      <c r="L108" s="436"/>
      <c r="M108" s="413"/>
      <c r="N108" s="413"/>
      <c r="O108" s="338"/>
      <c r="P108" s="338"/>
      <c r="Q108" s="399"/>
      <c r="R108" s="414"/>
      <c r="S108" s="414"/>
      <c r="T108" s="414"/>
      <c r="U108" s="414"/>
      <c r="V108" s="414"/>
      <c r="W108" s="414"/>
      <c r="X108" s="414"/>
      <c r="Y108" s="377"/>
    </row>
    <row r="109" spans="1:25" s="204" customFormat="1" ht="25.5" customHeight="1" x14ac:dyDescent="0.2">
      <c r="A109" s="433">
        <v>8</v>
      </c>
      <c r="B109" s="434" t="s">
        <v>952</v>
      </c>
      <c r="C109" s="415">
        <f>C110</f>
        <v>1</v>
      </c>
      <c r="D109" s="416"/>
      <c r="E109" s="417"/>
      <c r="F109" s="416"/>
      <c r="G109" s="418"/>
      <c r="H109" s="419"/>
      <c r="I109" s="420"/>
      <c r="J109" s="420"/>
      <c r="K109" s="420">
        <f>K110</f>
        <v>4735.7520000000004</v>
      </c>
      <c r="L109" s="420">
        <f t="shared" ref="L109:Y110" si="52">L110</f>
        <v>4020</v>
      </c>
      <c r="M109" s="420">
        <f t="shared" si="52"/>
        <v>278.75199999999995</v>
      </c>
      <c r="N109" s="420">
        <f t="shared" si="52"/>
        <v>437</v>
      </c>
      <c r="O109" s="420">
        <f t="shared" si="52"/>
        <v>4020</v>
      </c>
      <c r="P109" s="420">
        <f t="shared" si="52"/>
        <v>3730</v>
      </c>
      <c r="Q109" s="420">
        <f t="shared" si="52"/>
        <v>290</v>
      </c>
      <c r="R109" s="420">
        <f t="shared" si="52"/>
        <v>1</v>
      </c>
      <c r="S109" s="420" t="e">
        <f t="shared" si="52"/>
        <v>#REF!</v>
      </c>
      <c r="T109" s="420">
        <f t="shared" si="52"/>
        <v>0</v>
      </c>
      <c r="U109" s="420">
        <f t="shared" si="52"/>
        <v>0</v>
      </c>
      <c r="V109" s="420">
        <f t="shared" si="52"/>
        <v>0</v>
      </c>
      <c r="W109" s="420">
        <f t="shared" si="52"/>
        <v>0</v>
      </c>
      <c r="X109" s="420">
        <f t="shared" si="52"/>
        <v>0</v>
      </c>
      <c r="Y109" s="420">
        <f t="shared" si="52"/>
        <v>0</v>
      </c>
    </row>
    <row r="110" spans="1:25" s="171" customFormat="1" x14ac:dyDescent="0.25">
      <c r="A110" s="462" t="s">
        <v>953</v>
      </c>
      <c r="B110" s="463" t="s">
        <v>954</v>
      </c>
      <c r="C110" s="464">
        <f>C111</f>
        <v>1</v>
      </c>
      <c r="D110" s="463"/>
      <c r="E110" s="465"/>
      <c r="F110" s="463"/>
      <c r="G110" s="465"/>
      <c r="H110" s="456"/>
      <c r="I110" s="455"/>
      <c r="J110" s="454"/>
      <c r="K110" s="455">
        <f>K111</f>
        <v>4735.7520000000004</v>
      </c>
      <c r="L110" s="455">
        <f t="shared" si="52"/>
        <v>4020</v>
      </c>
      <c r="M110" s="455">
        <f t="shared" si="52"/>
        <v>278.75199999999995</v>
      </c>
      <c r="N110" s="455">
        <f t="shared" si="52"/>
        <v>437</v>
      </c>
      <c r="O110" s="455">
        <f t="shared" si="52"/>
        <v>4020</v>
      </c>
      <c r="P110" s="455">
        <f t="shared" si="52"/>
        <v>3730</v>
      </c>
      <c r="Q110" s="455">
        <f t="shared" si="52"/>
        <v>290</v>
      </c>
      <c r="R110" s="456">
        <f t="shared" si="52"/>
        <v>1</v>
      </c>
      <c r="S110" s="456" t="e">
        <f t="shared" si="52"/>
        <v>#REF!</v>
      </c>
      <c r="T110" s="456">
        <f t="shared" si="52"/>
        <v>0</v>
      </c>
      <c r="U110" s="456">
        <f t="shared" si="52"/>
        <v>0</v>
      </c>
      <c r="V110" s="456">
        <f t="shared" si="52"/>
        <v>0</v>
      </c>
      <c r="W110" s="456">
        <f t="shared" si="52"/>
        <v>0</v>
      </c>
      <c r="X110" s="456">
        <v>0</v>
      </c>
      <c r="Y110" s="463"/>
    </row>
    <row r="111" spans="1:25" s="197" customFormat="1" ht="72.599999999999994" customHeight="1" x14ac:dyDescent="0.2">
      <c r="A111" s="408">
        <v>1</v>
      </c>
      <c r="B111" s="409" t="s">
        <v>955</v>
      </c>
      <c r="C111" s="428">
        <v>1</v>
      </c>
      <c r="D111" s="410" t="s">
        <v>954</v>
      </c>
      <c r="E111" s="382" t="s">
        <v>956</v>
      </c>
      <c r="F111" s="381" t="s">
        <v>768</v>
      </c>
      <c r="G111" s="383">
        <v>7967124</v>
      </c>
      <c r="H111" s="382" t="s">
        <v>957</v>
      </c>
      <c r="I111" s="384" t="s">
        <v>75</v>
      </c>
      <c r="J111" s="381" t="s">
        <v>958</v>
      </c>
      <c r="K111" s="344">
        <f t="shared" ref="K111" si="53">L111+M111+N111</f>
        <v>4735.7520000000004</v>
      </c>
      <c r="L111" s="398">
        <v>4020</v>
      </c>
      <c r="M111" s="411">
        <v>278.75199999999995</v>
      </c>
      <c r="N111" s="411">
        <v>437</v>
      </c>
      <c r="O111" s="346">
        <v>4020</v>
      </c>
      <c r="P111" s="346">
        <v>3730</v>
      </c>
      <c r="Q111" s="347">
        <v>290</v>
      </c>
      <c r="R111" s="348">
        <v>1</v>
      </c>
      <c r="S111" s="348" t="e">
        <f>R111*#REF!</f>
        <v>#REF!</v>
      </c>
      <c r="T111" s="348"/>
      <c r="U111" s="348"/>
      <c r="V111" s="348"/>
      <c r="W111" s="348"/>
      <c r="X111" s="348" t="e">
        <f>#REF!-#REF!</f>
        <v>#REF!</v>
      </c>
      <c r="Y111" s="346"/>
    </row>
    <row r="112" spans="1:25" s="197" customFormat="1" x14ac:dyDescent="0.2">
      <c r="A112" s="408"/>
      <c r="B112" s="409"/>
      <c r="C112" s="428"/>
      <c r="D112" s="410"/>
      <c r="E112" s="382"/>
      <c r="F112" s="381"/>
      <c r="G112" s="383"/>
      <c r="H112" s="382"/>
      <c r="I112" s="384"/>
      <c r="J112" s="381"/>
      <c r="K112" s="344"/>
      <c r="L112" s="398"/>
      <c r="M112" s="411"/>
      <c r="N112" s="411"/>
      <c r="O112" s="360"/>
      <c r="P112" s="360"/>
      <c r="Q112" s="347"/>
      <c r="R112" s="348"/>
      <c r="S112" s="348"/>
      <c r="T112" s="348"/>
      <c r="U112" s="348"/>
      <c r="V112" s="348"/>
      <c r="W112" s="348"/>
      <c r="X112" s="348"/>
      <c r="Y112" s="338"/>
    </row>
    <row r="113" spans="1:25" s="197" customFormat="1" ht="54" customHeight="1" x14ac:dyDescent="0.2">
      <c r="A113" s="316" t="s">
        <v>12</v>
      </c>
      <c r="B113" s="466" t="s">
        <v>959</v>
      </c>
      <c r="C113" s="428"/>
      <c r="D113" s="410"/>
      <c r="E113" s="382"/>
      <c r="F113" s="381"/>
      <c r="G113" s="383"/>
      <c r="H113" s="382"/>
      <c r="I113" s="384"/>
      <c r="J113" s="381"/>
      <c r="K113" s="324">
        <f>K114</f>
        <v>31142</v>
      </c>
      <c r="L113" s="324">
        <f t="shared" ref="L113:Q113" si="54">L114</f>
        <v>15000</v>
      </c>
      <c r="M113" s="325">
        <f t="shared" si="54"/>
        <v>5142</v>
      </c>
      <c r="N113" s="325">
        <f t="shared" si="54"/>
        <v>11000</v>
      </c>
      <c r="O113" s="324">
        <f t="shared" si="54"/>
        <v>15000</v>
      </c>
      <c r="P113" s="324"/>
      <c r="Q113" s="324">
        <f t="shared" si="54"/>
        <v>10000</v>
      </c>
      <c r="R113" s="348"/>
      <c r="S113" s="348"/>
      <c r="T113" s="348"/>
      <c r="U113" s="348"/>
      <c r="V113" s="348"/>
      <c r="W113" s="348"/>
      <c r="X113" s="348"/>
      <c r="Y113" s="338"/>
    </row>
    <row r="114" spans="1:25" s="197" customFormat="1" ht="72.599999999999994" customHeight="1" x14ac:dyDescent="0.2">
      <c r="A114" s="408"/>
      <c r="B114" s="409" t="s">
        <v>960</v>
      </c>
      <c r="C114" s="428"/>
      <c r="D114" s="410" t="s">
        <v>71</v>
      </c>
      <c r="E114" s="382"/>
      <c r="F114" s="381" t="s">
        <v>194</v>
      </c>
      <c r="G114" s="383">
        <v>8053958</v>
      </c>
      <c r="H114" s="382"/>
      <c r="I114" s="384" t="s">
        <v>103</v>
      </c>
      <c r="J114" s="381" t="s">
        <v>961</v>
      </c>
      <c r="K114" s="346">
        <v>31142</v>
      </c>
      <c r="L114" s="398">
        <v>15000</v>
      </c>
      <c r="M114" s="411">
        <v>5142</v>
      </c>
      <c r="N114" s="411">
        <v>11000</v>
      </c>
      <c r="O114" s="346">
        <v>15000</v>
      </c>
      <c r="P114" s="346">
        <v>0</v>
      </c>
      <c r="Q114" s="347">
        <v>10000</v>
      </c>
      <c r="R114" s="348"/>
      <c r="S114" s="348"/>
      <c r="T114" s="348"/>
      <c r="U114" s="348"/>
      <c r="V114" s="348"/>
      <c r="W114" s="348"/>
      <c r="X114" s="348"/>
      <c r="Y114" s="338"/>
    </row>
    <row r="115" spans="1:25" x14ac:dyDescent="0.25">
      <c r="A115" s="448"/>
      <c r="B115" s="449"/>
      <c r="C115" s="450"/>
      <c r="D115" s="449"/>
      <c r="E115" s="451"/>
      <c r="F115" s="449"/>
      <c r="G115" s="451"/>
      <c r="H115" s="452"/>
      <c r="I115" s="453"/>
      <c r="J115" s="454"/>
      <c r="K115" s="455"/>
      <c r="L115" s="455"/>
      <c r="M115" s="456"/>
      <c r="N115" s="456"/>
      <c r="O115" s="457"/>
      <c r="P115" s="457"/>
      <c r="Q115" s="458"/>
      <c r="R115" s="451"/>
      <c r="S115" s="451"/>
      <c r="T115" s="451"/>
      <c r="U115" s="451"/>
      <c r="V115" s="451"/>
      <c r="W115" s="451"/>
      <c r="X115" s="451"/>
      <c r="Y115" s="449"/>
    </row>
  </sheetData>
  <mergeCells count="27">
    <mergeCell ref="A1:Y1"/>
    <mergeCell ref="A2:Y2"/>
    <mergeCell ref="A3:Y3"/>
    <mergeCell ref="N6:Y6"/>
    <mergeCell ref="A7:A9"/>
    <mergeCell ref="B7:B9"/>
    <mergeCell ref="C7:C9"/>
    <mergeCell ref="D7:D9"/>
    <mergeCell ref="E7:E9"/>
    <mergeCell ref="A4:Y4"/>
    <mergeCell ref="O7:O9"/>
    <mergeCell ref="P7:P9"/>
    <mergeCell ref="Q7:Q9"/>
    <mergeCell ref="R7:W7"/>
    <mergeCell ref="X7:X9"/>
    <mergeCell ref="Y7:Y9"/>
    <mergeCell ref="R8:S8"/>
    <mergeCell ref="T8:U8"/>
    <mergeCell ref="V8:W8"/>
    <mergeCell ref="K7:N7"/>
    <mergeCell ref="F7:F9"/>
    <mergeCell ref="G7:G9"/>
    <mergeCell ref="H7:H9"/>
    <mergeCell ref="I7:I9"/>
    <mergeCell ref="J7:J9"/>
    <mergeCell ref="K8:K9"/>
    <mergeCell ref="L8:N8"/>
  </mergeCells>
  <printOptions horizontalCentered="1"/>
  <pageMargins left="0.39370078740157483" right="0.39370078740157483" top="0.59055118110236227" bottom="0.59055118110236227" header="0.31496062992125984" footer="0.31496062992125984"/>
  <pageSetup paperSize="9" scale="75" fitToHeight="0" orientation="landscape" verticalDpi="300" r:id="rId1"/>
  <headerFooter>
    <oddHeader>&amp;R&amp;"Times New Roman,Regular"&amp;12PL03a: NTM 2024 (NSTW)</oddHeader>
    <oddFooter>&amp;R&amp;"Times New Roman,Regular"&amp;12&amp;P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PL1-TH</vt:lpstr>
      <vt:lpstr>PL2 PAVon</vt:lpstr>
      <vt:lpstr>PL3-PA DA</vt:lpstr>
      <vt:lpstr>PL3a_chi tiet NSTW24 NTM </vt:lpstr>
      <vt:lpstr>'PL1-TH'!Print_Area</vt:lpstr>
      <vt:lpstr>'PL1-TH'!Print_Titles</vt:lpstr>
      <vt:lpstr>'PL2 PAVon'!Print_Titles</vt:lpstr>
      <vt:lpstr>'PL3a_chi tiet NSTW24 NTM '!Print_Titles</vt:lpstr>
      <vt:lpstr>'PL3-PA DA'!Print_Titles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cp:lastModifiedBy>
  <cp:lastPrinted>2023-12-14T06:13:10Z</cp:lastPrinted>
  <dcterms:created xsi:type="dcterms:W3CDTF">2021-07-05T09:31:15Z</dcterms:created>
  <dcterms:modified xsi:type="dcterms:W3CDTF">2023-12-09T09:09:30Z</dcterms:modified>
</cp:coreProperties>
</file>